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 tabRatio="720" activeTab="1"/>
  </bookViews>
  <sheets>
    <sheet name="wycinka" sheetId="2" r:id="rId1"/>
    <sheet name="32-33" sheetId="3" r:id="rId2"/>
    <sheet name="33-33a" sheetId="4" r:id="rId3"/>
    <sheet name="33a-34" sheetId="5" r:id="rId4"/>
    <sheet name="34-34a" sheetId="6" r:id="rId5"/>
    <sheet name="34a-35" sheetId="7" r:id="rId6"/>
    <sheet name="35-36a" sheetId="8" r:id="rId7"/>
    <sheet name="36a-36b" sheetId="9" r:id="rId8"/>
    <sheet name="36b-36c" sheetId="10" r:id="rId9"/>
    <sheet name="36c-37" sheetId="11" r:id="rId10"/>
    <sheet name="35i-35j" sheetId="12" r:id="rId11"/>
    <sheet name="35g" sheetId="13" r:id="rId12"/>
    <sheet name="35f-35fa" sheetId="14" r:id="rId13"/>
    <sheet name="35e-35d" sheetId="15" r:id="rId14"/>
    <sheet name="35d-35c" sheetId="16" r:id="rId15"/>
    <sheet name="35c-35b" sheetId="17" r:id="rId16"/>
    <sheet name="35a-35b" sheetId="18" r:id="rId17"/>
  </sheets>
  <definedNames>
    <definedName name="_xlnm.Print_Area" localSheetId="1">'32-33'!$A$1:$E$52</definedName>
    <definedName name="_xlnm.Print_Area" localSheetId="2">'33-33a'!$A$1:$E$39</definedName>
    <definedName name="_xlnm.Print_Area" localSheetId="3">'33a-34'!$A$1:$E$35</definedName>
    <definedName name="_xlnm.Print_Area" localSheetId="4">'34-34a'!$A$1:$E$45</definedName>
    <definedName name="_xlnm.Print_Area" localSheetId="5">'34a-35'!$A$1:$E$45</definedName>
    <definedName name="_xlnm.Print_Area" localSheetId="6">'35-36a'!$A$1:$E$64</definedName>
    <definedName name="_xlnm.Print_Area" localSheetId="16">'35a-35b'!$A$1:$E$41</definedName>
    <definedName name="_xlnm.Print_Area" localSheetId="15">'35c-35b'!$A$1:$E$125</definedName>
    <definedName name="_xlnm.Print_Area" localSheetId="14">'35d-35c'!$A$1:$E$54</definedName>
    <definedName name="_xlnm.Print_Area" localSheetId="13">'35e-35d'!$A$1:$E$51</definedName>
    <definedName name="_xlnm.Print_Area" localSheetId="12">'35f-35fa'!$A$1:$E$61</definedName>
    <definedName name="_xlnm.Print_Area" localSheetId="11">'35g'!$A$1:$E$51</definedName>
    <definedName name="_xlnm.Print_Area" localSheetId="8">'36b-36c'!$A$1:$E$45</definedName>
    <definedName name="_xlnm.Print_Area" localSheetId="9">'36c-37'!$A$1:$E$51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7" l="1"/>
  <c r="E35" i="17"/>
  <c r="E38" i="17"/>
  <c r="E39" i="17"/>
  <c r="E40" i="17"/>
  <c r="E44" i="17"/>
  <c r="E58" i="17" l="1"/>
  <c r="E48" i="17"/>
  <c r="E54" i="17"/>
  <c r="E57" i="17"/>
  <c r="E117" i="17"/>
  <c r="E118" i="17"/>
  <c r="E62" i="17"/>
  <c r="E28" i="17"/>
  <c r="E29" i="17"/>
  <c r="E6" i="17" l="1"/>
  <c r="E50" i="16"/>
  <c r="E39" i="16"/>
  <c r="E20" i="16"/>
  <c r="E6" i="16"/>
  <c r="E37" i="15"/>
  <c r="E36" i="15"/>
  <c r="E19" i="15"/>
  <c r="E6" i="15"/>
  <c r="E34" i="14"/>
  <c r="E6" i="14"/>
  <c r="E6" i="13"/>
  <c r="E6" i="8"/>
  <c r="E6" i="6"/>
  <c r="E6" i="5"/>
  <c r="E6" i="4"/>
  <c r="E33" i="14" l="1"/>
  <c r="E10" i="12" l="1"/>
  <c r="E46" i="17" l="1"/>
  <c r="E16" i="17"/>
  <c r="E14" i="17"/>
  <c r="E15" i="17" s="1"/>
  <c r="E32" i="16"/>
  <c r="E10" i="16"/>
  <c r="E30" i="15"/>
  <c r="E9" i="15"/>
  <c r="E27" i="14"/>
  <c r="E9" i="14"/>
  <c r="E10" i="14" s="1"/>
  <c r="E52" i="12"/>
  <c r="E28" i="12"/>
  <c r="E9" i="12"/>
  <c r="E11" i="12" s="1"/>
  <c r="E8" i="15"/>
  <c r="E9" i="16"/>
  <c r="E8" i="16"/>
  <c r="E8" i="14"/>
  <c r="E10" i="17"/>
  <c r="E9" i="17"/>
  <c r="E8" i="17"/>
  <c r="P137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7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2" i="2"/>
  <c r="F111" i="2"/>
  <c r="F110" i="2"/>
  <c r="F109" i="2"/>
  <c r="F108" i="2"/>
  <c r="F98" i="2"/>
  <c r="F97" i="2"/>
  <c r="F96" i="2"/>
  <c r="F95" i="2"/>
  <c r="F94" i="2"/>
  <c r="F93" i="2"/>
  <c r="F92" i="2"/>
  <c r="F91" i="2"/>
  <c r="F90" i="2"/>
  <c r="F89" i="2"/>
  <c r="F86" i="2"/>
  <c r="F85" i="2"/>
  <c r="F84" i="2"/>
  <c r="F83" i="2"/>
  <c r="F82" i="2"/>
  <c r="F24" i="2"/>
  <c r="F16" i="2"/>
  <c r="E6" i="18" l="1"/>
  <c r="E116" i="17"/>
  <c r="E47" i="15"/>
  <c r="E6" i="12"/>
  <c r="E6" i="11"/>
  <c r="E6" i="10"/>
  <c r="G6" i="9"/>
  <c r="G7" i="9" s="1"/>
  <c r="E6" i="7"/>
  <c r="E6" i="3"/>
  <c r="E115" i="17"/>
  <c r="E17" i="17"/>
  <c r="E11" i="16"/>
  <c r="E10" i="15"/>
  <c r="E8" i="13"/>
  <c r="E60" i="8"/>
  <c r="E59" i="8"/>
  <c r="E58" i="8"/>
  <c r="E41" i="6"/>
  <c r="E40" i="6"/>
  <c r="E39" i="6"/>
  <c r="E44" i="11" l="1"/>
  <c r="E20" i="10"/>
  <c r="E23" i="10" s="1"/>
  <c r="E24" i="3"/>
  <c r="E20" i="6"/>
  <c r="E16" i="6" s="1"/>
  <c r="E45" i="17"/>
  <c r="E60" i="17" s="1"/>
  <c r="E61" i="17"/>
  <c r="E37" i="16"/>
  <c r="E49" i="16"/>
  <c r="E31" i="16"/>
  <c r="E29" i="15"/>
  <c r="E35" i="15"/>
  <c r="E26" i="14"/>
  <c r="E32" i="14"/>
  <c r="E57" i="14"/>
  <c r="E30" i="13"/>
  <c r="E44" i="13"/>
  <c r="E24" i="13"/>
  <c r="E33" i="12"/>
  <c r="E53" i="12"/>
  <c r="E27" i="12"/>
  <c r="E22" i="11"/>
  <c r="E27" i="11"/>
  <c r="E17" i="10"/>
  <c r="E15" i="10"/>
  <c r="E16" i="10"/>
  <c r="E22" i="8"/>
  <c r="E50" i="8"/>
  <c r="E27" i="8"/>
  <c r="E20" i="7"/>
  <c r="E20" i="5"/>
  <c r="E23" i="5" s="1"/>
  <c r="E24" i="4"/>
  <c r="E23" i="4"/>
  <c r="E7" i="4"/>
  <c r="E7" i="3"/>
  <c r="E8" i="3" s="1"/>
  <c r="E9" i="3" s="1"/>
  <c r="E23" i="3"/>
  <c r="E17" i="6" l="1"/>
  <c r="E23" i="6"/>
  <c r="E15" i="6"/>
  <c r="E27" i="16"/>
  <c r="E28" i="16"/>
  <c r="E26" i="16"/>
  <c r="E31" i="15"/>
  <c r="E26" i="15"/>
  <c r="E24" i="15"/>
  <c r="E22" i="15"/>
  <c r="E34" i="15"/>
  <c r="E25" i="15"/>
  <c r="E23" i="15"/>
  <c r="E23" i="14"/>
  <c r="E21" i="14"/>
  <c r="E19" i="14"/>
  <c r="E31" i="14"/>
  <c r="E22" i="14"/>
  <c r="E20" i="14"/>
  <c r="E21" i="13"/>
  <c r="E19" i="13"/>
  <c r="E17" i="13"/>
  <c r="E29" i="13"/>
  <c r="E20" i="13"/>
  <c r="E18" i="13"/>
  <c r="E18" i="11"/>
  <c r="E16" i="11"/>
  <c r="E19" i="11"/>
  <c r="E17" i="11"/>
  <c r="E15" i="11"/>
  <c r="E17" i="8"/>
  <c r="E16" i="8"/>
  <c r="E18" i="8"/>
  <c r="E19" i="8"/>
  <c r="E15" i="8"/>
  <c r="E37" i="17"/>
  <c r="E32" i="17"/>
  <c r="E36" i="17"/>
  <c r="E34" i="17"/>
  <c r="E33" i="17"/>
  <c r="E47" i="17"/>
  <c r="E25" i="16"/>
  <c r="E24" i="16"/>
  <c r="E36" i="16"/>
  <c r="E33" i="16"/>
  <c r="E28" i="14"/>
  <c r="E26" i="13"/>
  <c r="E23" i="12"/>
  <c r="E22" i="12"/>
  <c r="E21" i="12"/>
  <c r="E24" i="12"/>
  <c r="E20" i="12"/>
  <c r="E32" i="12"/>
  <c r="E23" i="11"/>
  <c r="E26" i="11"/>
  <c r="E23" i="8"/>
  <c r="E26" i="8"/>
  <c r="E17" i="7"/>
  <c r="E16" i="7"/>
  <c r="E15" i="7"/>
  <c r="E23" i="7"/>
  <c r="E16" i="5"/>
  <c r="E15" i="5"/>
  <c r="E17" i="5"/>
  <c r="E19" i="4"/>
  <c r="E18" i="4"/>
  <c r="E20" i="4"/>
  <c r="E27" i="4"/>
  <c r="E8" i="4"/>
  <c r="E9" i="4" s="1"/>
  <c r="E19" i="3"/>
  <c r="E18" i="3"/>
  <c r="E20" i="3"/>
  <c r="E27" i="3"/>
  <c r="G8" i="9" l="1"/>
  <c r="G9" i="9" s="1"/>
  <c r="K184" i="2" l="1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38" i="2"/>
  <c r="F136" i="2"/>
  <c r="F114" i="2"/>
  <c r="F113" i="2"/>
  <c r="F107" i="2"/>
  <c r="F106" i="2"/>
  <c r="F105" i="2"/>
  <c r="F104" i="2"/>
  <c r="F103" i="2"/>
  <c r="F102" i="2"/>
  <c r="F101" i="2"/>
  <c r="F100" i="2"/>
  <c r="F99" i="2"/>
  <c r="F88" i="2"/>
  <c r="F87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<sst xmlns="http://schemas.openxmlformats.org/spreadsheetml/2006/main" count="2862" uniqueCount="358">
  <si>
    <t>PRZEDMIAR ROBÓT</t>
  </si>
  <si>
    <t>Lp.</t>
  </si>
  <si>
    <t>Nr spec. technicznej</t>
  </si>
  <si>
    <t>Opis</t>
  </si>
  <si>
    <t>Jedn. obm.</t>
  </si>
  <si>
    <t>Ilość</t>
  </si>
  <si>
    <t>Cena jedn.</t>
  </si>
  <si>
    <t>Wartość</t>
  </si>
  <si>
    <t>ROBOTY PRZYGOTOWAWCZE I ROZBIÓRKOWE</t>
  </si>
  <si>
    <t>D-01-01.01</t>
  </si>
  <si>
    <t>km</t>
  </si>
  <si>
    <t>D-01.02.01</t>
  </si>
  <si>
    <t>szt.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</si>
  <si>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</si>
  <si>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D-01-02.04</t>
  </si>
  <si>
    <t>m</t>
  </si>
  <si>
    <t>Rozebranie obrzeży betonowych</t>
  </si>
  <si>
    <t>Razem dział: ROBOTY PRZYGOTOWAWCZE I ROZBIÓRKOWE</t>
  </si>
  <si>
    <t>2</t>
  </si>
  <si>
    <t xml:space="preserve">ROBOTY ZIEMNE </t>
  </si>
  <si>
    <t>D-02.01.01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</si>
  <si>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</si>
  <si>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t>D-02.03.01</t>
  </si>
  <si>
    <t>Razem dział: ROBOTY ZIEMNE</t>
  </si>
  <si>
    <t>3</t>
  </si>
  <si>
    <t>ODWODNIENIE KORPUSU DROGOWEGO</t>
  </si>
  <si>
    <t>Razem dział: ODWODNIENIE KORPUSU DROGOWEGO</t>
  </si>
  <si>
    <t>4</t>
  </si>
  <si>
    <t>PODBUDOWY</t>
  </si>
  <si>
    <t>D-04.02.01</t>
  </si>
  <si>
    <t>Razem dział: PODBUDOWY</t>
  </si>
  <si>
    <t>5</t>
  </si>
  <si>
    <t>NAWIERZCHNIE</t>
  </si>
  <si>
    <t xml:space="preserve">D-05.03.05 </t>
  </si>
  <si>
    <t>Razem dział: NAWIERZCHNIE</t>
  </si>
  <si>
    <t>6</t>
  </si>
  <si>
    <t>URZĄDZENIA BEZPIECZEŃSTWA RUCHU</t>
  </si>
  <si>
    <t>OZNAKOWANIE POZIOME</t>
  </si>
  <si>
    <t>D.07.01.01</t>
  </si>
  <si>
    <t>OZNAKOWANIE PIONOWE</t>
  </si>
  <si>
    <t>D.07.02.01</t>
  </si>
  <si>
    <t>Razem dział: URZĄDZENIA BEZPIECZEŃSTWA RUCHU</t>
  </si>
  <si>
    <t>7</t>
  </si>
  <si>
    <t>ELEMENTY DROGOWE</t>
  </si>
  <si>
    <t>D-08.03.01</t>
  </si>
  <si>
    <t>Obrzeża betonowe o wym. 30x8 cm na podsypce piaskowej z wyp.spoin zaprawą cem.</t>
  </si>
  <si>
    <t>Razem dział: ELEMENTY DROGOWE</t>
  </si>
  <si>
    <t>8</t>
  </si>
  <si>
    <t>ZIELEŃ</t>
  </si>
  <si>
    <t>D-09.01.01</t>
  </si>
  <si>
    <t>Razem dział: ZIELEŃ</t>
  </si>
  <si>
    <t>t</t>
  </si>
  <si>
    <t>10</t>
  </si>
  <si>
    <t>Razem dział: MAŁA ARCHITEKTURA</t>
  </si>
  <si>
    <t>Wartosc kosztorysowa robót bez podatku VAT</t>
  </si>
  <si>
    <t>Podatek VAT</t>
  </si>
  <si>
    <t>Ogółem wartość kosztorysowa robót</t>
  </si>
  <si>
    <t>Odtworzenie trasy i punktów wysokościowych:</t>
  </si>
  <si>
    <t>Usunięcie drzew i krzewów:</t>
  </si>
  <si>
    <t>szt</t>
  </si>
  <si>
    <t>Wykonanie wykopów w gruntach I-V kat.:</t>
  </si>
  <si>
    <t>- wykonanie wykopów z załadunkiem i transportem gruntu na nasyp,</t>
  </si>
  <si>
    <r>
      <t>m</t>
    </r>
    <r>
      <rPr>
        <vertAlign val="superscript"/>
        <sz val="10"/>
        <rFont val="Times New Roman CE"/>
        <family val="1"/>
        <charset val="238"/>
      </rPr>
      <t>3</t>
    </r>
  </si>
  <si>
    <t>Wykonanie nasypów:</t>
  </si>
  <si>
    <t>- formowanie nasypu wraz z zagęszczeniem z gruntu z dokopu,</t>
  </si>
  <si>
    <t>D.04.01.01.</t>
  </si>
  <si>
    <r>
      <t>m</t>
    </r>
    <r>
      <rPr>
        <vertAlign val="superscript"/>
        <sz val="10"/>
        <rFont val="Times New Roman CE"/>
        <charset val="238"/>
      </rPr>
      <t>2</t>
    </r>
  </si>
  <si>
    <t>Koryto wykonywane mechanicznie na całej szerokości jedni i chodników w gruncie kat. II-IV, głęb. Koryta 20cm</t>
  </si>
  <si>
    <t>D.04.01.02</t>
  </si>
  <si>
    <t>Profilowanie i zagęszczenie ręcznie podłoża pod warstwy konstrukcyjne nawierzchni w gruncie kat. II-IV</t>
  </si>
  <si>
    <t>ROBOTY WYKOŃCZENIOWE</t>
  </si>
  <si>
    <t>Wzmocnienie powierzchni geokompozytem</t>
  </si>
  <si>
    <t>Razem dział: ROBOTY WYKOŃCZENIOWE</t>
  </si>
  <si>
    <t>Dodatek za każdy dalszy 1 km przewozu mieszanki mineralno-asfaltowej ponad 5 km</t>
  </si>
  <si>
    <t>Skropienie ręczne warstw konstrukcyjnych niebitumicznych emulsją asfaltową</t>
  </si>
  <si>
    <t>Rozebranie podbudowy z kruszywa łamanego lub naturalnego, grub. Warstwy 15cm</t>
  </si>
  <si>
    <t>Rozebranie nawierzchni z płyt drogowych betonowych, grub. 12cm</t>
  </si>
  <si>
    <t>Numer inwentaryzacji</t>
  </si>
  <si>
    <t>Nr działki
 i obręb ewidencyjny</t>
  </si>
  <si>
    <t>Strona drogi</t>
  </si>
  <si>
    <t>Nazwa gatunkowa: Polska/ Łacińska</t>
  </si>
  <si>
    <t>Obwód pnia 
[cm]</t>
  </si>
  <si>
    <t>Pierśnica średnica 
 [cm]</t>
  </si>
  <si>
    <t>Średnica korony [m]</t>
  </si>
  <si>
    <t>Wysokość drzewa [m]</t>
  </si>
  <si>
    <t>Stan drzewa</t>
  </si>
  <si>
    <t>Uwagi</t>
  </si>
  <si>
    <t>Przewidziane do wycinki</t>
  </si>
  <si>
    <t>P</t>
  </si>
  <si>
    <t>Olsza Czarna  / Alnus glutinosa</t>
  </si>
  <si>
    <t>Wierzba Biała / Salix alba</t>
  </si>
  <si>
    <t>Jesion Wyniosły / Fraxinus excelsior</t>
  </si>
  <si>
    <t>Wiąz Szypułkowy / Ulmus laevis</t>
  </si>
  <si>
    <t>Topola Osika / Populus tremula</t>
  </si>
  <si>
    <t>USCHNIĘTE</t>
  </si>
  <si>
    <t>TAK</t>
  </si>
  <si>
    <t>Klon zwyczajny / Acer platanoides</t>
  </si>
  <si>
    <t>ucięte gałęzie</t>
  </si>
  <si>
    <t>porosty</t>
  </si>
  <si>
    <t>rozwidlenie V kształtne</t>
  </si>
  <si>
    <t>forma  wielopienna</t>
  </si>
  <si>
    <t>Brzoza Brodawkowata /Betula pendula</t>
  </si>
  <si>
    <t>Świerk Pospolity / Picea abies</t>
  </si>
  <si>
    <t>Lipa drobnolistna / Tilia cordata</t>
  </si>
  <si>
    <t>ubytek w korze</t>
  </si>
  <si>
    <t>Głóg jednoszyjkowy - Crataegus monogyna</t>
  </si>
  <si>
    <t>uschnięte, porosty</t>
  </si>
  <si>
    <t>L</t>
  </si>
  <si>
    <t xml:space="preserve"> </t>
  </si>
  <si>
    <t xml:space="preserve">Śliwa domowa mirabelka / Prunus domestica </t>
  </si>
  <si>
    <t>uschnięte</t>
  </si>
  <si>
    <t>mech</t>
  </si>
  <si>
    <t> 5</t>
  </si>
  <si>
    <t>ucięte gałęzie, porost</t>
  </si>
  <si>
    <t>uschnięte, ubytek w korze</t>
  </si>
  <si>
    <t>mech, porosty</t>
  </si>
  <si>
    <t xml:space="preserve">forma wielopienna </t>
  </si>
  <si>
    <t>mech, porosty, ubytek w korze</t>
  </si>
  <si>
    <t>ucięte gałęzie, mech, porosty</t>
  </si>
  <si>
    <t>pęknięty pień</t>
  </si>
  <si>
    <t>SZPALER  22 szt. Świerk Pospolity / Picea abies</t>
  </si>
  <si>
    <t>Orzech Włoski / Juglans regia</t>
  </si>
  <si>
    <t>SZPALER  3 szt. Świerk Pospolity / Picea abies</t>
  </si>
  <si>
    <t>Robinia akacjowa / Robinia pseudoacacia</t>
  </si>
  <si>
    <t>Żywotnik / Thuja</t>
  </si>
  <si>
    <t>Razem do wycinki</t>
  </si>
  <si>
    <t>- karczowanie pni o średnicy 4-35 cm z wywiezieniem  karpiny na składowisko Wykonawcy,</t>
  </si>
  <si>
    <t>- karczowanie pni o średnicy 36-55 cm z wywiezieniem  karpiny na składowisko Wykonawcy,</t>
  </si>
  <si>
    <t>- karczowanie pni o średnicy 56-75 cm z wywiezieniem  karpiny na składowisko Wykonawcy,</t>
  </si>
  <si>
    <t>D.05.03.23</t>
  </si>
  <si>
    <t>Nawierzchnia z kostki brukowej betonowej:</t>
  </si>
  <si>
    <t xml:space="preserve">Chodniki z płyt betonowych  </t>
  </si>
  <si>
    <t>Wykonanie warstwy ścieralnej z mieszanki mineralno-asfaltowej AC8S dowożonej z odległości do 5km, grub. Warstwy po zagęszczeniu 5cm (asfalt czerwony-Błotnik)</t>
  </si>
  <si>
    <t>Wykonanie warstwy ścieralnej z mieszanki mineralno-asfaltowej AC8S dowożonej z odległości do 5km, grub. Warstwy po zagęszczeniu 5cm (asfalt szary-wały)</t>
  </si>
  <si>
    <t>Wykonanie warstwy ścieralnej z mieszanki mineralno-asfaltowej AC8S dowożonej z odległości do 5km, grub. Warstwy po zagęszczeniu 5cm (zjazdy do nieruchomości)</t>
  </si>
  <si>
    <t xml:space="preserve">Wiata </t>
  </si>
  <si>
    <t xml:space="preserve">Kosz na śmieci </t>
  </si>
  <si>
    <t>Stojak na rower wolnostojacy</t>
  </si>
  <si>
    <t>Nawierzchnia z luźnego kruszywa (żwir, grys, otoczaki)</t>
  </si>
  <si>
    <t>Nawierzchnia trawiasta</t>
  </si>
  <si>
    <t>Nawierzchnia z desek PCV na legarach</t>
  </si>
  <si>
    <t>Tablica inforacyjna</t>
  </si>
  <si>
    <t xml:space="preserve">Ławostół </t>
  </si>
  <si>
    <t>Ustawienie krawężników betonowych 20x30cm na podsypce cementowo-piaskowej  grubości 5 cm i ławie betonowej z oporem,</t>
  </si>
  <si>
    <t>Rozebranie nawierzchni z płytek betonowych z transportem na składowisko Zamawiajacego (chodnik)</t>
  </si>
  <si>
    <t>Progi zwalniające na jezdniach</t>
  </si>
  <si>
    <t xml:space="preserve">Przestawienie słupków ochronnych (ulica Leśna) </t>
  </si>
  <si>
    <t>Rozbiórka zjazdów (do odtworzenia)</t>
  </si>
  <si>
    <t>Transport urobku samochodami na odległość 15km wraz z uformowaniem i wyrównaniem skarp na odkładzie (materiał z rozebranych zjazdów)</t>
  </si>
  <si>
    <t>Transport urobku samochodami na odległość 15km wraz z uformowaniem i wyrównaniem skarp na odkładzie (materiał z drogi z płyt betonowych)</t>
  </si>
  <si>
    <t>Wykonanie nawierzchni z kostki z betonu wibroprasowanego  grubości 8 cm na podsypce cementowo-piaskowej gr. 5 cm ( wyspy dzielące nieprzejezdne).</t>
  </si>
  <si>
    <t>D.06.03.01</t>
  </si>
  <si>
    <t>Pobocza z mieszanki optymalnej</t>
  </si>
  <si>
    <t>D.06.01.01</t>
  </si>
  <si>
    <t>11</t>
  </si>
  <si>
    <t>KŁADKA ROWEROWA</t>
  </si>
  <si>
    <t>wykonanie kładki kompozytowej na stalowych mocowaniach wraz z przyczółkami oraz skucie i wykonanie nowego(jednostronnego)  gzymsu, a także demontaż istniejącej balustrady, nowe zabezpieczenie antykorozyjne i ponowny jej montaż</t>
  </si>
  <si>
    <t>1</t>
  </si>
  <si>
    <t>Razem dział: KŁADKA ROWEROWA</t>
  </si>
  <si>
    <t>Zasadzenie żywopłotu</t>
  </si>
  <si>
    <t>9</t>
  </si>
  <si>
    <t>12</t>
  </si>
  <si>
    <t>13</t>
  </si>
  <si>
    <t>Oznakowanie</t>
  </si>
  <si>
    <t>Wykonanie podbudowy z tłucznia kamiennego 0/31,5mm, grub. warstwy po zagęszczeniu 15cm</t>
  </si>
  <si>
    <t>10a</t>
  </si>
  <si>
    <t>MAŁA ARCHITEKTURA- miejsce postojowe - Giemlice (połączenie staregi i nowego wału) - dz. nr 235</t>
  </si>
  <si>
    <t>MAŁA ARCHITEKTURA- miejsce postojowe - Kiezmark - dz. nr 286/2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</si>
  <si>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32-33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</si>
  <si>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33-33a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</si>
  <si>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33a-34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</si>
  <si>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34-34a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</si>
  <si>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34a-35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</si>
  <si>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35-36a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</si>
  <si>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36a-36b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</si>
  <si>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36b-36c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</si>
  <si>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36c-37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</si>
  <si>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35i-35j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</si>
  <si>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2014-2020”- odcinek pomiędzy punktami 35g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</si>
  <si>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35f-35fa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</si>
  <si>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35e-35d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</si>
  <si>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35d-35c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</si>
  <si>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35c-35b</t>
  </si>
  <si>
    <t>„Budowa drogi rowerowej wraz z obiektem mostowym nad Kanałem Śledziowym na terenie Gminy Cedry Wielkie w ramach przedsięwzięcia Pomorskie Trasy Rowerowe o Znaczeniu Międzynarodowym R-10 i Wiślana Trasa Rowerowa R-9 w ramach Regionalnego Programu Operacyjnego dla Województwa Pomorskiego na lata 2014-2020” - odcinek pomiędzy punktami 35a-35b</t>
  </si>
  <si>
    <t xml:space="preserve">- roboty pomiarowe w terenie równinnym </t>
  </si>
  <si>
    <t>- roboty pomiarowe w terenie równinnym</t>
  </si>
  <si>
    <t>35f-35fa</t>
  </si>
  <si>
    <t>35b-35c</t>
  </si>
  <si>
    <t>35d-35e</t>
  </si>
  <si>
    <t>35c-35d</t>
  </si>
  <si>
    <t>- formowanie nasypu wraz z zagęszczeniem z gruntu z dokopu</t>
  </si>
  <si>
    <t>Humusowanie z obsianiem skarp przy grubości humusu 10 cm (hydroobsiew)</t>
  </si>
  <si>
    <t>Wykonanie warstwy ścieralnej z mieszanki mineralno-asfaltowej AC8S dowożonej z odległości do 5km, grub. Warstwy po zagęszczeniu 5cm (asfalt czerwony)</t>
  </si>
  <si>
    <t>Obrzeża betonowe o wym. 30x8 cm na podsypce piaskowej z wyp. spoin zaprawą cem.</t>
  </si>
  <si>
    <t>Rury ochronne na sieci ciepłowniczej</t>
  </si>
  <si>
    <t>mb</t>
  </si>
  <si>
    <t>A-24</t>
  </si>
  <si>
    <t>B-1</t>
  </si>
  <si>
    <t>T-22</t>
  </si>
  <si>
    <t>T-0</t>
  </si>
  <si>
    <t>R-4</t>
  </si>
  <si>
    <t>15</t>
  </si>
  <si>
    <t>R-4b</t>
  </si>
  <si>
    <t>E-10</t>
  </si>
  <si>
    <t>R-4_2</t>
  </si>
  <si>
    <t>R-4c</t>
  </si>
  <si>
    <t>E-12a</t>
  </si>
  <si>
    <t>P-27</t>
  </si>
  <si>
    <t>P-15 mini</t>
  </si>
  <si>
    <t>słupek</t>
  </si>
  <si>
    <t>14</t>
  </si>
  <si>
    <t>R-4e</t>
  </si>
  <si>
    <t>słupki</t>
  </si>
  <si>
    <t>22</t>
  </si>
  <si>
    <t>P-11 (l=5,01)</t>
  </si>
  <si>
    <t>R-4_c</t>
  </si>
  <si>
    <t>tablica ostrzegająca o wjeździe na wał</t>
  </si>
  <si>
    <t>A-7 małe</t>
  </si>
  <si>
    <t>D-6a małe</t>
  </si>
  <si>
    <t>R-4 naklejka</t>
  </si>
  <si>
    <t>C-13 mini</t>
  </si>
  <si>
    <t>P-23</t>
  </si>
  <si>
    <t xml:space="preserve">R-4 </t>
  </si>
  <si>
    <t>P-13(l=1,21)</t>
  </si>
  <si>
    <t>R-4_1</t>
  </si>
  <si>
    <t>A-7 mini</t>
  </si>
  <si>
    <t>B-1 małe</t>
  </si>
  <si>
    <t>T-22 małe</t>
  </si>
  <si>
    <t>tablica informująca o przekopie wisły</t>
  </si>
  <si>
    <t xml:space="preserve">C-13/16 mini </t>
  </si>
  <si>
    <t>C-13/16 mini likwidowany</t>
  </si>
  <si>
    <t>P-26</t>
  </si>
  <si>
    <t>P-10 (l=5,95)</t>
  </si>
  <si>
    <t>P-10 (l=5,89) likwidowany</t>
  </si>
  <si>
    <t>E-18a</t>
  </si>
  <si>
    <t>D-43</t>
  </si>
  <si>
    <t>E-18a likwidowany</t>
  </si>
  <si>
    <t>D-43 likwidowany</t>
  </si>
  <si>
    <t>D-15</t>
  </si>
  <si>
    <t>D-6a</t>
  </si>
  <si>
    <t>C13/16 mini</t>
  </si>
  <si>
    <t>C13/16 likwidowany</t>
  </si>
  <si>
    <t>P-13 (l=2,56)</t>
  </si>
  <si>
    <t>P-13 (l=2,49)</t>
  </si>
  <si>
    <t>P-11 (l=6,21)</t>
  </si>
  <si>
    <t>D-52</t>
  </si>
  <si>
    <t>D-6b</t>
  </si>
  <si>
    <t>B-20 likwidowany</t>
  </si>
  <si>
    <t>B-36 likwidowany</t>
  </si>
  <si>
    <t>T-25a likwidowany</t>
  </si>
  <si>
    <t>D-42 likwidowany</t>
  </si>
  <si>
    <t>D-52 likwidowany</t>
  </si>
  <si>
    <t>D-6 likwidowany</t>
  </si>
  <si>
    <t>T-0 likwidowany</t>
  </si>
  <si>
    <t>P-4 (5mb)</t>
  </si>
  <si>
    <t>P-4 (4mb)</t>
  </si>
  <si>
    <t>P-4 (20mb)</t>
  </si>
  <si>
    <t>P-13 (1mb)</t>
  </si>
  <si>
    <t>P-13 (1,48mb)</t>
  </si>
  <si>
    <t>P-10 (9,11)</t>
  </si>
  <si>
    <t>P-10 (2,0)</t>
  </si>
  <si>
    <t>P-11 (8,4)</t>
  </si>
  <si>
    <t>P-12 (9,0)</t>
  </si>
  <si>
    <t>P-7b (18,76)</t>
  </si>
  <si>
    <t>P-7b (9,29)</t>
  </si>
  <si>
    <t>P-1e (7,04)</t>
  </si>
  <si>
    <t>P-1e (15,43)</t>
  </si>
  <si>
    <t>P- 21a (2,49)</t>
  </si>
  <si>
    <t>P - 21a (1,15)</t>
  </si>
  <si>
    <t>P - 14 (2,92)</t>
  </si>
  <si>
    <t>B-44 małe</t>
  </si>
  <si>
    <t>B-43 małe</t>
  </si>
  <si>
    <t>C- 10 małe</t>
  </si>
  <si>
    <t>C- 9 małe</t>
  </si>
  <si>
    <t>A-24 małe</t>
  </si>
  <si>
    <t xml:space="preserve">B-33 do likwidacji </t>
  </si>
  <si>
    <t>A-11a do likwidacji</t>
  </si>
  <si>
    <t>T-1 do likwidacji</t>
  </si>
  <si>
    <t>próg zwalniający z kostki betonowej 10x20 o wymiarach 1,5x5,5m do likwidacji</t>
  </si>
  <si>
    <t>44</t>
  </si>
  <si>
    <t>52</t>
  </si>
  <si>
    <t>D-04-01-02</t>
  </si>
  <si>
    <t>D.06.04.01</t>
  </si>
  <si>
    <t>D.03.01.01</t>
  </si>
  <si>
    <t>Przepusty pod zjazdami</t>
  </si>
  <si>
    <t>Przebudowa rowów</t>
  </si>
  <si>
    <t xml:space="preserve">Drenaż </t>
  </si>
  <si>
    <t>Zabezpieczenie sieci teletechnicznej rurami ochronnymi</t>
  </si>
  <si>
    <t>Zabezpieczenie sieci gazowej rurami ochronnymi</t>
  </si>
  <si>
    <t>D-08.05.01</t>
  </si>
  <si>
    <t>Ściek z elementów prefabrykowanych</t>
  </si>
  <si>
    <t>D.03.02.01.</t>
  </si>
  <si>
    <t>kpl</t>
  </si>
  <si>
    <t>Kanalizacja deszczowa - wpust (wpust uliczny klasy A15), woda przykanalikiem (rura PEHD fi 220) odprowadzona do studni (studnia z PEHD fi1000)  i wyprowadzona (rurą PEHD fi 220) do rowu melioracyjnego</t>
  </si>
  <si>
    <t>D.06.01.01b</t>
  </si>
  <si>
    <r>
      <t>Materace gabionowe - umocnienie wylotu W</t>
    </r>
    <r>
      <rPr>
        <vertAlign val="subscript"/>
        <sz val="11"/>
        <rFont val="Calibri"/>
        <family val="2"/>
        <charset val="238"/>
        <scheme val="minor"/>
      </rPr>
      <t>A</t>
    </r>
  </si>
  <si>
    <t>D-03.03.01</t>
  </si>
  <si>
    <t>Drenaż</t>
  </si>
  <si>
    <t>D-03.01.01</t>
  </si>
  <si>
    <t>Wydłużenie przepustu</t>
  </si>
  <si>
    <t>3,86</t>
  </si>
  <si>
    <t>3,38</t>
  </si>
  <si>
    <t>D-08.05.02</t>
  </si>
  <si>
    <t>Ściek podchodnikowy</t>
  </si>
  <si>
    <t>Ściek skarpowy</t>
  </si>
  <si>
    <r>
      <t>Materace gabionowe - umocnienie wylotu W</t>
    </r>
    <r>
      <rPr>
        <vertAlign val="subscript"/>
        <sz val="11"/>
        <rFont val="Calibri"/>
        <family val="2"/>
        <charset val="238"/>
        <scheme val="minor"/>
      </rPr>
      <t xml:space="preserve">B1 </t>
    </r>
    <r>
      <rPr>
        <sz val="11"/>
        <rFont val="Calibri"/>
        <family val="2"/>
        <charset val="238"/>
        <scheme val="minor"/>
      </rPr>
      <t>W</t>
    </r>
    <r>
      <rPr>
        <vertAlign val="subscript"/>
        <sz val="11"/>
        <rFont val="Calibri"/>
        <family val="2"/>
        <charset val="238"/>
        <scheme val="minor"/>
      </rPr>
      <t>B2</t>
    </r>
  </si>
  <si>
    <t>D.05.03.26</t>
  </si>
  <si>
    <t>Wypełnienie szczelin nawierzchni bitumicznych</t>
  </si>
  <si>
    <t xml:space="preserve">D-05.03.15 </t>
  </si>
  <si>
    <t>Wzmocnienie nawierzchni asfaltowych siatką przeciwspękaniową przesączona asfaltem</t>
  </si>
  <si>
    <t>16</t>
  </si>
  <si>
    <t>17</t>
  </si>
  <si>
    <t>18</t>
  </si>
  <si>
    <t>19</t>
  </si>
  <si>
    <t>20</t>
  </si>
  <si>
    <t>21</t>
  </si>
  <si>
    <t xml:space="preserve">D-04.04.02 </t>
  </si>
  <si>
    <t>D-10.03.01a</t>
  </si>
  <si>
    <t>D.04.02.01</t>
  </si>
  <si>
    <t>Podbudowy z kruszyw- pospółka, warstwa dolna, grubość warstwy po zagęszczeniu 10 cm</t>
  </si>
  <si>
    <t>Wykonanie nawierzchni z płyt drogowych betonowych na podsypce piaskowej, grub. płyt 12cm wraz z wypełnieniem otworów (płyty yomb typu rowerowego)</t>
  </si>
  <si>
    <t>Wykonanie nawierzchni z KŁSM 0/22,5mm, warstwa górna, grub. warstwy po zagęszczeniu 10cm- wypełnienie pomiędzy płytami typu YOMB</t>
  </si>
  <si>
    <t>D – 07.06.02</t>
  </si>
  <si>
    <t>D – 11.01.03</t>
  </si>
  <si>
    <t>D-04.03.01</t>
  </si>
  <si>
    <t xml:space="preserve">D-05.03.05a </t>
  </si>
  <si>
    <t>D.09.01.01</t>
  </si>
  <si>
    <t>D-08.02.00</t>
  </si>
  <si>
    <t>D-08.01.01b</t>
  </si>
  <si>
    <t>D-03.02.01a</t>
  </si>
  <si>
    <t>D-03.01.02a</t>
  </si>
  <si>
    <t>D.05.03.23a</t>
  </si>
  <si>
    <t>D-04.07.01</t>
  </si>
  <si>
    <t>Wykonanie podbudowy z tłucznia kamiennego 0/31,5mm, grub. warstwy po zagęszczeniu 20cm  (poszerzenie drogi wojewódzkiej)</t>
  </si>
  <si>
    <t xml:space="preserve">D-04.05.01 </t>
  </si>
  <si>
    <t>Umocnienie skarp płytami typu Meba</t>
  </si>
  <si>
    <t>Wykonanie nawierzchni z kostki kamiennej na podsypce cementowo-piaskowej gr. 5 cm ( wyspy dzielące przejezdne)</t>
  </si>
  <si>
    <t>D.05.03.1</t>
  </si>
  <si>
    <t>Wykonanie nawierzchni z kostki kamiennej na podsypce cementowo-piaskowej gr. 5 cm ( zabruk).</t>
  </si>
  <si>
    <t>Wykonanie nawierzchni z kostki z betonu wibroprasowanego  grubości 8 cm na podsypce cementowo-piaskowej gr. 5 cm ( pas pomiędzy ścieżką rowerową a chodnikiem).</t>
  </si>
  <si>
    <t>Kruszywo stabilizowane cementem (KSC), Rm=2,5 Mpa (poszerzenie drogi wojewódzkiej) 15cm</t>
  </si>
  <si>
    <t>Warstwa podbudowy z betonu asfaltowego AC 22 P 35/50 (poszerzenie drogi wojewódzkiej) 11cm</t>
  </si>
  <si>
    <t>Warstwa wiążąca z betonu asfaltowego AC 22 W PMB 25/55-60  (poszerzenie drogi wojewódzkiej) 8cm</t>
  </si>
  <si>
    <t>Warstwa ścieralna SMA 11 PMB 45/80-55  (poszerzenie drogi wojewódzkiej) 4cm</t>
  </si>
  <si>
    <t>Warstwa odsączająca z pospółki  15 cm (poszerzenie drogi wojewódzkiej)</t>
  </si>
  <si>
    <t>MAŁA ARCHITEKTURA</t>
  </si>
  <si>
    <t>D.11.01.03</t>
  </si>
  <si>
    <t>Ustawienie tablic promocyjnych</t>
  </si>
  <si>
    <t>T-25c likwidowany</t>
  </si>
  <si>
    <t>T-6a</t>
  </si>
  <si>
    <t xml:space="preserve">B-20 </t>
  </si>
  <si>
    <t>A-16</t>
  </si>
  <si>
    <t>C-9</t>
  </si>
  <si>
    <t>C 13/16 mini</t>
  </si>
  <si>
    <t>U-5a</t>
  </si>
  <si>
    <t>23</t>
  </si>
  <si>
    <t>24</t>
  </si>
  <si>
    <t>P-10/11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</si>
</sst>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 CE"/>
      <charset val="238"/>
    </font>
    <font>
      <vertAlign val="superscript"/>
      <sz val="10"/>
      <name val="Times New Roman CE"/>
      <family val="1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0" borderId="0" xfId="0" applyFont="1"/>
    <xf numFmtId="4" fontId="1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/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2" fontId="14" fillId="6" borderId="2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0" fillId="6" borderId="0" xfId="0" applyFill="1"/>
    <xf numFmtId="0" fontId="0" fillId="7" borderId="2" xfId="0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2" fontId="14" fillId="7" borderId="2" xfId="0" applyNumberFormat="1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0" fillId="7" borderId="0" xfId="0" applyFill="1"/>
    <xf numFmtId="2" fontId="0" fillId="7" borderId="2" xfId="0" applyNumberForma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 wrapText="1"/>
    </xf>
    <xf numFmtId="2" fontId="15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2" fontId="15" fillId="8" borderId="2" xfId="0" applyNumberFormat="1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0" fillId="8" borderId="0" xfId="0" applyFill="1"/>
    <xf numFmtId="2" fontId="14" fillId="8" borderId="2" xfId="0" applyNumberFormat="1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2" fontId="14" fillId="9" borderId="2" xfId="0" applyNumberFormat="1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0" fillId="9" borderId="0" xfId="0" applyFill="1"/>
    <xf numFmtId="0" fontId="17" fillId="0" borderId="0" xfId="0" applyFont="1"/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0" fillId="0" borderId="0" xfId="0" applyBorder="1"/>
    <xf numFmtId="49" fontId="2" fillId="0" borderId="2" xfId="0" quotePrefix="1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2" xfId="0" quotePrefix="1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vertical="center" wrapText="1"/>
    </xf>
    <xf numFmtId="165" fontId="17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 indent="1"/>
    </xf>
    <xf numFmtId="2" fontId="0" fillId="0" borderId="0" xfId="0" applyNumberFormat="1"/>
    <xf numFmtId="49" fontId="21" fillId="0" borderId="2" xfId="0" applyNumberFormat="1" applyFont="1" applyBorder="1" applyAlignment="1">
      <alignment horizontal="center" vertical="center"/>
    </xf>
    <xf numFmtId="0" fontId="21" fillId="0" borderId="0" xfId="0" applyFont="1"/>
    <xf numFmtId="0" fontId="12" fillId="0" borderId="12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0" fillId="0" borderId="2" xfId="0" applyNumberFormat="1" applyFont="1" applyBorder="1" applyAlignment="1">
      <alignment horizontal="left" vertical="center"/>
    </xf>
    <xf numFmtId="49" fontId="17" fillId="0" borderId="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topLeftCell="A181" workbookViewId="0">
      <selection activeCell="Q161" sqref="Q161"/>
    </sheetView>
  </sheetViews>
  <sheetFormatPr defaultRowHeight="15" x14ac:dyDescent="0.25"/>
  <sheetData>
    <row r="1" spans="1:13" ht="83.25" thickBot="1" x14ac:dyDescent="0.3">
      <c r="A1" s="10" t="s">
        <v>77</v>
      </c>
      <c r="B1" s="11" t="s">
        <v>78</v>
      </c>
      <c r="C1" s="10" t="s">
        <v>79</v>
      </c>
      <c r="D1" s="10" t="s">
        <v>80</v>
      </c>
      <c r="E1" s="10" t="s">
        <v>81</v>
      </c>
      <c r="F1" s="12" t="s">
        <v>82</v>
      </c>
      <c r="G1" s="13" t="s">
        <v>83</v>
      </c>
      <c r="H1" s="13" t="s">
        <v>84</v>
      </c>
      <c r="I1" s="14" t="s">
        <v>85</v>
      </c>
      <c r="J1" s="14" t="s">
        <v>86</v>
      </c>
      <c r="K1" s="14" t="s">
        <v>87</v>
      </c>
    </row>
    <row r="2" spans="1:13" ht="66.75" thickBot="1" x14ac:dyDescent="0.3">
      <c r="A2" s="15">
        <v>1</v>
      </c>
      <c r="B2" s="16"/>
      <c r="C2" s="15" t="s">
        <v>88</v>
      </c>
      <c r="D2" s="17" t="s">
        <v>89</v>
      </c>
      <c r="E2" s="15">
        <v>40</v>
      </c>
      <c r="F2" s="18">
        <f>E2/(2*3.14)</f>
        <v>6.3694267515923562</v>
      </c>
      <c r="G2" s="15">
        <v>2.5</v>
      </c>
      <c r="H2" s="15">
        <v>4</v>
      </c>
      <c r="I2" s="19">
        <v>5</v>
      </c>
      <c r="J2" s="20"/>
      <c r="K2" s="19"/>
      <c r="L2">
        <v>1</v>
      </c>
    </row>
    <row r="3" spans="1:13" ht="50.25" thickBot="1" x14ac:dyDescent="0.3">
      <c r="A3" s="15">
        <v>2</v>
      </c>
      <c r="B3" s="16"/>
      <c r="C3" s="15" t="s">
        <v>88</v>
      </c>
      <c r="D3" s="17" t="s">
        <v>90</v>
      </c>
      <c r="E3" s="15">
        <v>30</v>
      </c>
      <c r="F3" s="18">
        <f t="shared" ref="F3:F66" si="0">E3/(2*3.14)</f>
        <v>4.7770700636942669</v>
      </c>
      <c r="G3" s="15">
        <v>2</v>
      </c>
      <c r="H3" s="15">
        <v>3.5</v>
      </c>
      <c r="I3" s="19">
        <v>4</v>
      </c>
      <c r="J3" s="20"/>
      <c r="K3" s="19"/>
      <c r="L3">
        <v>1</v>
      </c>
    </row>
    <row r="4" spans="1:13" ht="50.25" thickBot="1" x14ac:dyDescent="0.3">
      <c r="A4" s="15">
        <v>3</v>
      </c>
      <c r="B4" s="16"/>
      <c r="C4" s="15" t="s">
        <v>88</v>
      </c>
      <c r="D4" s="17" t="s">
        <v>90</v>
      </c>
      <c r="E4" s="15">
        <v>25</v>
      </c>
      <c r="F4" s="18">
        <f t="shared" si="0"/>
        <v>3.9808917197452227</v>
      </c>
      <c r="G4" s="15">
        <v>2</v>
      </c>
      <c r="H4" s="15">
        <v>3.5</v>
      </c>
      <c r="I4" s="19">
        <v>4</v>
      </c>
      <c r="J4" s="20"/>
      <c r="K4" s="19"/>
      <c r="L4">
        <v>1</v>
      </c>
    </row>
    <row r="5" spans="1:13" ht="50.25" thickBot="1" x14ac:dyDescent="0.3">
      <c r="A5" s="15">
        <v>4</v>
      </c>
      <c r="B5" s="16"/>
      <c r="C5" s="15" t="s">
        <v>88</v>
      </c>
      <c r="D5" s="17" t="s">
        <v>90</v>
      </c>
      <c r="E5" s="15">
        <v>125</v>
      </c>
      <c r="F5" s="18">
        <f t="shared" si="0"/>
        <v>19.904458598726112</v>
      </c>
      <c r="G5" s="15">
        <v>2.5</v>
      </c>
      <c r="H5" s="15">
        <v>5</v>
      </c>
      <c r="I5" s="19">
        <v>4</v>
      </c>
      <c r="J5" s="20"/>
      <c r="K5" s="19"/>
      <c r="L5">
        <v>1</v>
      </c>
    </row>
    <row r="6" spans="1:13" ht="66.75" thickBot="1" x14ac:dyDescent="0.3">
      <c r="A6" s="15">
        <v>5</v>
      </c>
      <c r="B6" s="16"/>
      <c r="C6" s="15" t="s">
        <v>88</v>
      </c>
      <c r="D6" s="17" t="s">
        <v>91</v>
      </c>
      <c r="E6" s="15">
        <v>200</v>
      </c>
      <c r="F6" s="18">
        <f t="shared" si="0"/>
        <v>31.847133757961782</v>
      </c>
      <c r="G6" s="15">
        <v>4</v>
      </c>
      <c r="H6" s="15">
        <v>6</v>
      </c>
      <c r="I6" s="19">
        <v>4</v>
      </c>
      <c r="J6" s="20"/>
      <c r="K6" s="19"/>
      <c r="L6">
        <v>1</v>
      </c>
    </row>
    <row r="7" spans="1:13" ht="66.75" thickBot="1" x14ac:dyDescent="0.3">
      <c r="A7" s="15">
        <v>6</v>
      </c>
      <c r="B7" s="16"/>
      <c r="C7" s="15" t="s">
        <v>88</v>
      </c>
      <c r="D7" s="17" t="s">
        <v>91</v>
      </c>
      <c r="E7" s="15">
        <v>150</v>
      </c>
      <c r="F7" s="18">
        <f t="shared" si="0"/>
        <v>23.885350318471335</v>
      </c>
      <c r="G7" s="15">
        <v>2.5</v>
      </c>
      <c r="H7" s="15">
        <v>6</v>
      </c>
      <c r="I7" s="19">
        <v>4</v>
      </c>
      <c r="J7" s="20"/>
      <c r="K7" s="19"/>
      <c r="L7">
        <v>1</v>
      </c>
    </row>
    <row r="8" spans="1:13" ht="66.75" thickBot="1" x14ac:dyDescent="0.3">
      <c r="A8" s="15">
        <v>7</v>
      </c>
      <c r="B8" s="16"/>
      <c r="C8" s="15" t="s">
        <v>88</v>
      </c>
      <c r="D8" s="17" t="s">
        <v>92</v>
      </c>
      <c r="E8" s="15">
        <v>200</v>
      </c>
      <c r="F8" s="18">
        <f t="shared" si="0"/>
        <v>31.847133757961782</v>
      </c>
      <c r="G8" s="15">
        <v>4</v>
      </c>
      <c r="H8" s="15">
        <v>7</v>
      </c>
      <c r="I8" s="19">
        <v>5</v>
      </c>
      <c r="J8" s="20"/>
      <c r="K8" s="19"/>
      <c r="L8">
        <v>1</v>
      </c>
    </row>
    <row r="9" spans="1:13" ht="50.25" thickBot="1" x14ac:dyDescent="0.3">
      <c r="A9" s="15">
        <v>8</v>
      </c>
      <c r="B9" s="16"/>
      <c r="C9" s="15" t="s">
        <v>88</v>
      </c>
      <c r="D9" s="17" t="s">
        <v>90</v>
      </c>
      <c r="E9" s="15">
        <v>110</v>
      </c>
      <c r="F9" s="18">
        <f t="shared" si="0"/>
        <v>17.515923566878982</v>
      </c>
      <c r="G9" s="15">
        <v>2</v>
      </c>
      <c r="H9" s="15">
        <v>6</v>
      </c>
      <c r="I9" s="19">
        <v>3</v>
      </c>
      <c r="J9" s="20"/>
      <c r="K9" s="19"/>
      <c r="L9">
        <v>1</v>
      </c>
    </row>
    <row r="10" spans="1:13" ht="66.75" thickBot="1" x14ac:dyDescent="0.3">
      <c r="A10" s="15">
        <v>9</v>
      </c>
      <c r="B10" s="16"/>
      <c r="C10" s="15" t="s">
        <v>88</v>
      </c>
      <c r="D10" s="17" t="s">
        <v>93</v>
      </c>
      <c r="E10" s="15">
        <v>120</v>
      </c>
      <c r="F10" s="18">
        <f t="shared" si="0"/>
        <v>19.108280254777068</v>
      </c>
      <c r="G10" s="15">
        <v>4</v>
      </c>
      <c r="H10" s="15">
        <v>7</v>
      </c>
      <c r="I10" s="19">
        <v>3</v>
      </c>
      <c r="J10" s="20"/>
      <c r="K10" s="19"/>
      <c r="L10">
        <v>1</v>
      </c>
    </row>
    <row r="11" spans="1:13" ht="66.75" thickBot="1" x14ac:dyDescent="0.3">
      <c r="A11" s="15">
        <v>10</v>
      </c>
      <c r="B11" s="16"/>
      <c r="C11" s="15" t="s">
        <v>88</v>
      </c>
      <c r="D11" s="17" t="s">
        <v>93</v>
      </c>
      <c r="E11" s="15">
        <v>190</v>
      </c>
      <c r="F11" s="18">
        <f t="shared" si="0"/>
        <v>30.254777070063692</v>
      </c>
      <c r="G11" s="15">
        <v>6</v>
      </c>
      <c r="H11" s="15">
        <v>8</v>
      </c>
      <c r="I11" s="19">
        <v>5</v>
      </c>
      <c r="J11" s="20"/>
      <c r="K11" s="19"/>
      <c r="L11">
        <v>1</v>
      </c>
    </row>
    <row r="12" spans="1:13" ht="33.75" thickBot="1" x14ac:dyDescent="0.3">
      <c r="A12" s="15">
        <v>11</v>
      </c>
      <c r="B12" s="16"/>
      <c r="C12" s="15" t="s">
        <v>88</v>
      </c>
      <c r="D12" s="17" t="s">
        <v>94</v>
      </c>
      <c r="E12" s="15"/>
      <c r="F12" s="18">
        <f t="shared" si="0"/>
        <v>0</v>
      </c>
      <c r="G12" s="15"/>
      <c r="H12" s="15"/>
      <c r="I12" s="19">
        <v>3</v>
      </c>
      <c r="J12" s="20"/>
      <c r="K12" s="19"/>
      <c r="L12">
        <v>1</v>
      </c>
    </row>
    <row r="13" spans="1:13" ht="66.75" thickBot="1" x14ac:dyDescent="0.3">
      <c r="A13" s="15">
        <v>12</v>
      </c>
      <c r="B13" s="16"/>
      <c r="C13" s="15" t="s">
        <v>88</v>
      </c>
      <c r="D13" s="17" t="s">
        <v>91</v>
      </c>
      <c r="E13" s="15">
        <v>75</v>
      </c>
      <c r="F13" s="18">
        <f t="shared" si="0"/>
        <v>11.942675159235668</v>
      </c>
      <c r="G13" s="15">
        <v>15</v>
      </c>
      <c r="H13" s="15">
        <v>5</v>
      </c>
      <c r="I13" s="19">
        <v>4</v>
      </c>
      <c r="J13" s="20"/>
      <c r="K13" s="19"/>
      <c r="L13">
        <v>1</v>
      </c>
    </row>
    <row r="14" spans="1:13" ht="66.75" thickBot="1" x14ac:dyDescent="0.3">
      <c r="A14" s="15">
        <v>13</v>
      </c>
      <c r="B14" s="16"/>
      <c r="C14" s="15" t="s">
        <v>88</v>
      </c>
      <c r="D14" s="17" t="s">
        <v>91</v>
      </c>
      <c r="E14" s="15">
        <v>200</v>
      </c>
      <c r="F14" s="18">
        <f t="shared" si="0"/>
        <v>31.847133757961782</v>
      </c>
      <c r="G14" s="15">
        <v>2</v>
      </c>
      <c r="H14" s="15">
        <v>8</v>
      </c>
      <c r="I14" s="19">
        <v>5</v>
      </c>
      <c r="J14" s="19"/>
      <c r="K14" s="19"/>
      <c r="L14">
        <v>1</v>
      </c>
    </row>
    <row r="15" spans="1:13" ht="33.75" thickBot="1" x14ac:dyDescent="0.3">
      <c r="A15" s="15">
        <v>14</v>
      </c>
      <c r="B15" s="16"/>
      <c r="C15" s="15" t="s">
        <v>88</v>
      </c>
      <c r="D15" s="17" t="s">
        <v>94</v>
      </c>
      <c r="E15" s="15"/>
      <c r="F15" s="18">
        <f t="shared" si="0"/>
        <v>0</v>
      </c>
      <c r="G15" s="15"/>
      <c r="H15" s="15"/>
      <c r="I15" s="19">
        <v>5</v>
      </c>
      <c r="J15" s="19"/>
      <c r="K15" s="19"/>
      <c r="L15">
        <v>1</v>
      </c>
    </row>
    <row r="16" spans="1:13" ht="66.75" thickBot="1" x14ac:dyDescent="0.3">
      <c r="A16" s="38">
        <v>15</v>
      </c>
      <c r="B16" s="38"/>
      <c r="C16" s="38" t="s">
        <v>88</v>
      </c>
      <c r="D16" s="39" t="s">
        <v>93</v>
      </c>
      <c r="E16" s="38">
        <v>40</v>
      </c>
      <c r="F16" s="40">
        <f t="shared" si="0"/>
        <v>6.3694267515923562</v>
      </c>
      <c r="G16" s="38">
        <v>1.5</v>
      </c>
      <c r="H16" s="38">
        <v>3.5</v>
      </c>
      <c r="I16" s="41">
        <v>4</v>
      </c>
      <c r="J16" s="41"/>
      <c r="K16" s="41" t="s">
        <v>95</v>
      </c>
      <c r="L16" s="42">
        <v>1</v>
      </c>
      <c r="M16" s="42" t="s">
        <v>186</v>
      </c>
    </row>
    <row r="17" spans="1:14" ht="66.75" thickBot="1" x14ac:dyDescent="0.3">
      <c r="A17" s="15">
        <v>16</v>
      </c>
      <c r="B17" s="16"/>
      <c r="C17" s="15" t="s">
        <v>88</v>
      </c>
      <c r="D17" s="17" t="s">
        <v>91</v>
      </c>
      <c r="E17" s="15">
        <v>170</v>
      </c>
      <c r="F17" s="18">
        <f t="shared" si="0"/>
        <v>27.070063694267514</v>
      </c>
      <c r="G17" s="15">
        <v>6</v>
      </c>
      <c r="H17" s="15">
        <v>8</v>
      </c>
      <c r="I17" s="19">
        <v>5</v>
      </c>
      <c r="J17" s="19"/>
      <c r="K17" s="19"/>
      <c r="L17">
        <v>1</v>
      </c>
    </row>
    <row r="18" spans="1:14" ht="66.75" thickBot="1" x14ac:dyDescent="0.3">
      <c r="A18" s="15">
        <v>17</v>
      </c>
      <c r="B18" s="16"/>
      <c r="C18" s="15" t="s">
        <v>88</v>
      </c>
      <c r="D18" s="17" t="s">
        <v>91</v>
      </c>
      <c r="E18" s="15">
        <v>110</v>
      </c>
      <c r="F18" s="18">
        <f t="shared" si="0"/>
        <v>17.515923566878982</v>
      </c>
      <c r="G18" s="15">
        <v>3</v>
      </c>
      <c r="H18" s="15">
        <v>8</v>
      </c>
      <c r="I18" s="19">
        <v>5</v>
      </c>
      <c r="J18" s="19"/>
      <c r="K18" s="19"/>
      <c r="L18">
        <v>1</v>
      </c>
    </row>
    <row r="19" spans="1:14" ht="83.25" thickBot="1" x14ac:dyDescent="0.3">
      <c r="A19" s="15">
        <v>18</v>
      </c>
      <c r="B19" s="16"/>
      <c r="C19" s="15" t="s">
        <v>88</v>
      </c>
      <c r="D19" s="17" t="s">
        <v>96</v>
      </c>
      <c r="E19" s="15">
        <v>100</v>
      </c>
      <c r="F19" s="18">
        <f t="shared" si="0"/>
        <v>15.923566878980891</v>
      </c>
      <c r="G19" s="15">
        <v>3.5</v>
      </c>
      <c r="H19" s="15">
        <v>6</v>
      </c>
      <c r="I19" s="19">
        <v>5</v>
      </c>
      <c r="J19" s="19"/>
      <c r="K19" s="19"/>
      <c r="L19">
        <v>1</v>
      </c>
    </row>
    <row r="20" spans="1:14" ht="66.75" thickBot="1" x14ac:dyDescent="0.3">
      <c r="A20" s="15">
        <v>19</v>
      </c>
      <c r="B20" s="16"/>
      <c r="C20" s="15" t="s">
        <v>88</v>
      </c>
      <c r="D20" s="17" t="s">
        <v>91</v>
      </c>
      <c r="E20" s="15">
        <v>140</v>
      </c>
      <c r="F20" s="18">
        <f t="shared" si="0"/>
        <v>22.292993630573246</v>
      </c>
      <c r="G20" s="15">
        <v>4</v>
      </c>
      <c r="H20" s="15">
        <v>6</v>
      </c>
      <c r="I20" s="19">
        <v>5</v>
      </c>
      <c r="J20" s="19"/>
      <c r="K20" s="19"/>
      <c r="L20">
        <v>1</v>
      </c>
    </row>
    <row r="21" spans="1:14" ht="66.75" thickBot="1" x14ac:dyDescent="0.3">
      <c r="A21" s="15">
        <v>20</v>
      </c>
      <c r="B21" s="16"/>
      <c r="C21" s="15" t="s">
        <v>88</v>
      </c>
      <c r="D21" s="17" t="s">
        <v>91</v>
      </c>
      <c r="E21" s="15">
        <v>120</v>
      </c>
      <c r="F21" s="18">
        <f t="shared" si="0"/>
        <v>19.108280254777068</v>
      </c>
      <c r="G21" s="15">
        <v>4</v>
      </c>
      <c r="H21" s="15">
        <v>6</v>
      </c>
      <c r="I21" s="19">
        <v>3</v>
      </c>
      <c r="J21" s="19"/>
      <c r="K21" s="19"/>
      <c r="L21">
        <v>1</v>
      </c>
    </row>
    <row r="22" spans="1:14" ht="83.25" thickBot="1" x14ac:dyDescent="0.3">
      <c r="A22" s="15">
        <v>21</v>
      </c>
      <c r="B22" s="16"/>
      <c r="C22" s="15" t="s">
        <v>88</v>
      </c>
      <c r="D22" s="17" t="s">
        <v>96</v>
      </c>
      <c r="E22" s="15">
        <v>150</v>
      </c>
      <c r="F22" s="18">
        <f t="shared" si="0"/>
        <v>23.885350318471335</v>
      </c>
      <c r="G22" s="15">
        <v>4</v>
      </c>
      <c r="H22" s="15">
        <v>7</v>
      </c>
      <c r="I22" s="19">
        <v>5</v>
      </c>
      <c r="J22" s="19"/>
      <c r="K22" s="19"/>
      <c r="L22">
        <v>1</v>
      </c>
    </row>
    <row r="23" spans="1:14" ht="66.75" thickBot="1" x14ac:dyDescent="0.3">
      <c r="A23" s="15">
        <v>22</v>
      </c>
      <c r="B23" s="16"/>
      <c r="C23" s="15" t="s">
        <v>88</v>
      </c>
      <c r="D23" s="17" t="s">
        <v>91</v>
      </c>
      <c r="E23" s="15">
        <v>120</v>
      </c>
      <c r="F23" s="18">
        <f t="shared" si="0"/>
        <v>19.108280254777068</v>
      </c>
      <c r="G23" s="15">
        <v>3</v>
      </c>
      <c r="H23" s="15">
        <v>6</v>
      </c>
      <c r="I23" s="19">
        <v>3</v>
      </c>
      <c r="J23" s="19" t="s">
        <v>97</v>
      </c>
      <c r="K23" s="19"/>
      <c r="L23">
        <v>1</v>
      </c>
    </row>
    <row r="24" spans="1:14" ht="66.75" thickBot="1" x14ac:dyDescent="0.3">
      <c r="A24" s="38">
        <v>23</v>
      </c>
      <c r="B24" s="38"/>
      <c r="C24" s="38" t="s">
        <v>88</v>
      </c>
      <c r="D24" s="39" t="s">
        <v>91</v>
      </c>
      <c r="E24" s="38">
        <v>80</v>
      </c>
      <c r="F24" s="40">
        <f t="shared" si="0"/>
        <v>12.738853503184712</v>
      </c>
      <c r="G24" s="38">
        <v>2.5</v>
      </c>
      <c r="H24" s="38">
        <v>6</v>
      </c>
      <c r="I24" s="41">
        <v>5</v>
      </c>
      <c r="J24" s="41" t="s">
        <v>98</v>
      </c>
      <c r="K24" s="41" t="s">
        <v>95</v>
      </c>
      <c r="L24" s="42">
        <v>1</v>
      </c>
      <c r="M24" s="42" t="s">
        <v>186</v>
      </c>
      <c r="N24" s="42"/>
    </row>
    <row r="25" spans="1:14" ht="33.75" thickBot="1" x14ac:dyDescent="0.3">
      <c r="A25" s="15">
        <v>24</v>
      </c>
      <c r="B25" s="16"/>
      <c r="C25" s="15" t="s">
        <v>88</v>
      </c>
      <c r="D25" s="17" t="s">
        <v>94</v>
      </c>
      <c r="E25" s="15">
        <v>160</v>
      </c>
      <c r="F25" s="18">
        <f t="shared" si="0"/>
        <v>25.477707006369425</v>
      </c>
      <c r="G25" s="15"/>
      <c r="H25" s="15"/>
      <c r="I25" s="19"/>
      <c r="J25" s="19"/>
      <c r="K25" s="19"/>
      <c r="L25">
        <v>1</v>
      </c>
    </row>
    <row r="26" spans="1:14" ht="66.75" thickBot="1" x14ac:dyDescent="0.3">
      <c r="A26" s="15">
        <v>25</v>
      </c>
      <c r="B26" s="16"/>
      <c r="C26" s="15" t="s">
        <v>88</v>
      </c>
      <c r="D26" s="17" t="s">
        <v>91</v>
      </c>
      <c r="E26" s="15">
        <v>180</v>
      </c>
      <c r="F26" s="18">
        <f t="shared" si="0"/>
        <v>28.662420382165603</v>
      </c>
      <c r="G26" s="15">
        <v>5</v>
      </c>
      <c r="H26" s="15">
        <v>8</v>
      </c>
      <c r="I26" s="19">
        <v>5</v>
      </c>
      <c r="J26" s="19"/>
      <c r="K26" s="19"/>
      <c r="L26">
        <v>1</v>
      </c>
    </row>
    <row r="27" spans="1:14" ht="66.75" thickBot="1" x14ac:dyDescent="0.3">
      <c r="A27" s="15">
        <v>26</v>
      </c>
      <c r="B27" s="16"/>
      <c r="C27" s="15" t="s">
        <v>88</v>
      </c>
      <c r="D27" s="17" t="s">
        <v>91</v>
      </c>
      <c r="E27" s="15">
        <v>60</v>
      </c>
      <c r="F27" s="18">
        <f t="shared" si="0"/>
        <v>9.5541401273885338</v>
      </c>
      <c r="G27" s="15">
        <v>4</v>
      </c>
      <c r="H27" s="15">
        <v>5</v>
      </c>
      <c r="I27" s="19">
        <v>4</v>
      </c>
      <c r="J27" s="19" t="s">
        <v>98</v>
      </c>
      <c r="K27" s="19"/>
      <c r="L27">
        <v>1</v>
      </c>
    </row>
    <row r="28" spans="1:14" ht="50.25" thickBot="1" x14ac:dyDescent="0.3">
      <c r="A28" s="15">
        <v>27</v>
      </c>
      <c r="B28" s="16"/>
      <c r="C28" s="15" t="s">
        <v>88</v>
      </c>
      <c r="D28" s="17" t="s">
        <v>90</v>
      </c>
      <c r="E28" s="15">
        <v>120</v>
      </c>
      <c r="F28" s="18">
        <f t="shared" si="0"/>
        <v>19.108280254777068</v>
      </c>
      <c r="G28" s="15">
        <v>9.5</v>
      </c>
      <c r="H28" s="15">
        <v>4.5</v>
      </c>
      <c r="I28" s="19">
        <v>4</v>
      </c>
      <c r="J28" s="19" t="s">
        <v>99</v>
      </c>
      <c r="K28" s="19"/>
      <c r="L28">
        <v>1</v>
      </c>
    </row>
    <row r="29" spans="1:14" ht="50.25" thickBot="1" x14ac:dyDescent="0.3">
      <c r="A29" s="15">
        <v>28</v>
      </c>
      <c r="B29" s="16"/>
      <c r="C29" s="15" t="s">
        <v>88</v>
      </c>
      <c r="D29" s="17" t="s">
        <v>90</v>
      </c>
      <c r="E29" s="15">
        <v>60</v>
      </c>
      <c r="F29" s="18">
        <f t="shared" si="0"/>
        <v>9.5541401273885338</v>
      </c>
      <c r="G29" s="15">
        <v>3</v>
      </c>
      <c r="H29" s="15">
        <v>4</v>
      </c>
      <c r="I29" s="19">
        <v>5</v>
      </c>
      <c r="J29" s="19"/>
      <c r="K29" s="19"/>
      <c r="L29">
        <v>1</v>
      </c>
    </row>
    <row r="30" spans="1:14" ht="83.25" thickBot="1" x14ac:dyDescent="0.3">
      <c r="A30" s="15">
        <v>29</v>
      </c>
      <c r="B30" s="16"/>
      <c r="C30" s="15" t="s">
        <v>88</v>
      </c>
      <c r="D30" s="17" t="s">
        <v>96</v>
      </c>
      <c r="E30" s="15">
        <v>120</v>
      </c>
      <c r="F30" s="18">
        <f t="shared" si="0"/>
        <v>19.108280254777068</v>
      </c>
      <c r="G30" s="15">
        <v>3</v>
      </c>
      <c r="H30" s="15">
        <v>4</v>
      </c>
      <c r="I30" s="19">
        <v>5</v>
      </c>
      <c r="J30" s="19" t="s">
        <v>100</v>
      </c>
      <c r="K30" s="19"/>
      <c r="L30">
        <v>1</v>
      </c>
    </row>
    <row r="31" spans="1:14" ht="83.25" thickBot="1" x14ac:dyDescent="0.3">
      <c r="A31" s="15">
        <v>30</v>
      </c>
      <c r="B31" s="16"/>
      <c r="C31" s="15" t="s">
        <v>88</v>
      </c>
      <c r="D31" s="17" t="s">
        <v>101</v>
      </c>
      <c r="E31" s="15">
        <v>60</v>
      </c>
      <c r="F31" s="18">
        <f t="shared" si="0"/>
        <v>9.5541401273885338</v>
      </c>
      <c r="G31" s="15">
        <v>2.5</v>
      </c>
      <c r="H31" s="15">
        <v>5</v>
      </c>
      <c r="I31" s="19">
        <v>5</v>
      </c>
      <c r="J31" s="19"/>
      <c r="K31" s="19"/>
      <c r="L31">
        <v>1</v>
      </c>
    </row>
    <row r="32" spans="1:14" ht="66.75" thickBot="1" x14ac:dyDescent="0.3">
      <c r="A32" s="15">
        <v>31</v>
      </c>
      <c r="B32" s="16"/>
      <c r="C32" s="15" t="s">
        <v>88</v>
      </c>
      <c r="D32" s="17" t="s">
        <v>102</v>
      </c>
      <c r="E32" s="15">
        <v>40</v>
      </c>
      <c r="F32" s="18">
        <f t="shared" si="0"/>
        <v>6.3694267515923562</v>
      </c>
      <c r="G32" s="15">
        <v>2</v>
      </c>
      <c r="H32" s="15">
        <v>4</v>
      </c>
      <c r="I32" s="19">
        <v>4</v>
      </c>
      <c r="J32" s="19"/>
      <c r="K32" s="19"/>
      <c r="L32">
        <v>1</v>
      </c>
    </row>
    <row r="33" spans="1:12" ht="66.75" thickBot="1" x14ac:dyDescent="0.3">
      <c r="A33" s="15">
        <v>32</v>
      </c>
      <c r="B33" s="16"/>
      <c r="C33" s="15" t="s">
        <v>88</v>
      </c>
      <c r="D33" s="17" t="s">
        <v>102</v>
      </c>
      <c r="E33" s="15">
        <v>40</v>
      </c>
      <c r="F33" s="18">
        <f t="shared" si="0"/>
        <v>6.3694267515923562</v>
      </c>
      <c r="G33" s="15">
        <v>1.5</v>
      </c>
      <c r="H33" s="15">
        <v>4</v>
      </c>
      <c r="I33" s="19">
        <v>5</v>
      </c>
      <c r="J33" s="19"/>
      <c r="K33" s="19"/>
      <c r="L33">
        <v>1</v>
      </c>
    </row>
    <row r="34" spans="1:12" ht="66.75" thickBot="1" x14ac:dyDescent="0.3">
      <c r="A34" s="15">
        <v>33</v>
      </c>
      <c r="B34" s="16"/>
      <c r="C34" s="15" t="s">
        <v>88</v>
      </c>
      <c r="D34" s="17" t="s">
        <v>102</v>
      </c>
      <c r="E34" s="15">
        <v>100</v>
      </c>
      <c r="F34" s="18">
        <f t="shared" si="0"/>
        <v>15.923566878980891</v>
      </c>
      <c r="G34" s="15">
        <v>3</v>
      </c>
      <c r="H34" s="15">
        <v>8</v>
      </c>
      <c r="I34" s="19">
        <v>5</v>
      </c>
      <c r="J34" s="19"/>
      <c r="K34" s="19"/>
      <c r="L34">
        <v>1</v>
      </c>
    </row>
    <row r="35" spans="1:12" ht="66.75" thickBot="1" x14ac:dyDescent="0.3">
      <c r="A35" s="15">
        <v>34</v>
      </c>
      <c r="B35" s="16"/>
      <c r="C35" s="15" t="s">
        <v>88</v>
      </c>
      <c r="D35" s="17" t="s">
        <v>102</v>
      </c>
      <c r="E35" s="15">
        <v>80</v>
      </c>
      <c r="F35" s="18">
        <f t="shared" si="0"/>
        <v>12.738853503184712</v>
      </c>
      <c r="G35" s="15">
        <v>2</v>
      </c>
      <c r="H35" s="15">
        <v>6</v>
      </c>
      <c r="I35" s="19">
        <v>5</v>
      </c>
      <c r="J35" s="19"/>
      <c r="K35" s="19"/>
      <c r="L35">
        <v>1</v>
      </c>
    </row>
    <row r="36" spans="1:12" ht="83.25" thickBot="1" x14ac:dyDescent="0.3">
      <c r="A36" s="15">
        <v>35</v>
      </c>
      <c r="B36" s="16"/>
      <c r="C36" s="15" t="s">
        <v>88</v>
      </c>
      <c r="D36" s="17" t="s">
        <v>101</v>
      </c>
      <c r="E36" s="15">
        <v>80</v>
      </c>
      <c r="F36" s="18">
        <f t="shared" si="0"/>
        <v>12.738853503184712</v>
      </c>
      <c r="G36" s="15">
        <v>5</v>
      </c>
      <c r="H36" s="15">
        <v>8</v>
      </c>
      <c r="I36" s="19">
        <v>5</v>
      </c>
      <c r="J36" s="19" t="s">
        <v>100</v>
      </c>
      <c r="K36" s="19"/>
      <c r="L36">
        <v>1</v>
      </c>
    </row>
    <row r="37" spans="1:12" ht="83.25" thickBot="1" x14ac:dyDescent="0.3">
      <c r="A37" s="15">
        <v>36</v>
      </c>
      <c r="B37" s="16"/>
      <c r="C37" s="15" t="s">
        <v>88</v>
      </c>
      <c r="D37" s="17" t="s">
        <v>101</v>
      </c>
      <c r="E37" s="15">
        <v>120</v>
      </c>
      <c r="F37" s="18">
        <f t="shared" si="0"/>
        <v>19.108280254777068</v>
      </c>
      <c r="G37" s="15">
        <v>5</v>
      </c>
      <c r="H37" s="15">
        <v>8</v>
      </c>
      <c r="I37" s="19">
        <v>5</v>
      </c>
      <c r="J37" s="19"/>
      <c r="K37" s="19"/>
      <c r="L37">
        <v>1</v>
      </c>
    </row>
    <row r="38" spans="1:12" ht="83.25" thickBot="1" x14ac:dyDescent="0.3">
      <c r="A38" s="15">
        <v>37</v>
      </c>
      <c r="B38" s="16"/>
      <c r="C38" s="15" t="s">
        <v>88</v>
      </c>
      <c r="D38" s="17" t="s">
        <v>101</v>
      </c>
      <c r="E38" s="15">
        <v>110</v>
      </c>
      <c r="F38" s="18">
        <f t="shared" si="0"/>
        <v>17.515923566878982</v>
      </c>
      <c r="G38" s="15">
        <v>5</v>
      </c>
      <c r="H38" s="15">
        <v>8</v>
      </c>
      <c r="I38" s="19">
        <v>5</v>
      </c>
      <c r="J38" s="19"/>
      <c r="K38" s="19"/>
      <c r="L38">
        <v>1</v>
      </c>
    </row>
    <row r="39" spans="1:12" ht="66.75" thickBot="1" x14ac:dyDescent="0.3">
      <c r="A39" s="15">
        <v>38</v>
      </c>
      <c r="B39" s="16"/>
      <c r="C39" s="15" t="s">
        <v>88</v>
      </c>
      <c r="D39" s="17" t="s">
        <v>102</v>
      </c>
      <c r="E39" s="15">
        <v>70</v>
      </c>
      <c r="F39" s="18">
        <f t="shared" si="0"/>
        <v>11.146496815286623</v>
      </c>
      <c r="G39" s="15">
        <v>3</v>
      </c>
      <c r="H39" s="15">
        <v>6</v>
      </c>
      <c r="I39" s="19">
        <v>5</v>
      </c>
      <c r="J39" s="19" t="s">
        <v>98</v>
      </c>
      <c r="K39" s="19"/>
      <c r="L39">
        <v>1</v>
      </c>
    </row>
    <row r="40" spans="1:12" ht="66.75" thickBot="1" x14ac:dyDescent="0.3">
      <c r="A40" s="15">
        <v>39</v>
      </c>
      <c r="B40" s="16"/>
      <c r="C40" s="15" t="s">
        <v>88</v>
      </c>
      <c r="D40" s="17" t="s">
        <v>102</v>
      </c>
      <c r="E40" s="15">
        <v>70</v>
      </c>
      <c r="F40" s="18">
        <f t="shared" si="0"/>
        <v>11.146496815286623</v>
      </c>
      <c r="G40" s="15">
        <v>3</v>
      </c>
      <c r="H40" s="15">
        <v>7</v>
      </c>
      <c r="I40" s="19">
        <v>5</v>
      </c>
      <c r="J40" s="19" t="s">
        <v>98</v>
      </c>
      <c r="K40" s="19"/>
      <c r="L40">
        <v>1</v>
      </c>
    </row>
    <row r="41" spans="1:12" ht="66.75" thickBot="1" x14ac:dyDescent="0.3">
      <c r="A41" s="15">
        <v>40</v>
      </c>
      <c r="B41" s="16"/>
      <c r="C41" s="15" t="s">
        <v>88</v>
      </c>
      <c r="D41" s="17" t="s">
        <v>102</v>
      </c>
      <c r="E41" s="15">
        <v>100</v>
      </c>
      <c r="F41" s="18">
        <f t="shared" si="0"/>
        <v>15.923566878980891</v>
      </c>
      <c r="G41" s="15">
        <v>3</v>
      </c>
      <c r="H41" s="15">
        <v>7</v>
      </c>
      <c r="I41" s="19">
        <v>5</v>
      </c>
      <c r="J41" s="19" t="s">
        <v>98</v>
      </c>
      <c r="K41" s="19"/>
      <c r="L41">
        <v>1</v>
      </c>
    </row>
    <row r="42" spans="1:12" ht="66.75" thickBot="1" x14ac:dyDescent="0.3">
      <c r="A42" s="15">
        <v>41</v>
      </c>
      <c r="B42" s="16"/>
      <c r="C42" s="15" t="s">
        <v>88</v>
      </c>
      <c r="D42" s="17" t="s">
        <v>102</v>
      </c>
      <c r="E42" s="15">
        <v>80</v>
      </c>
      <c r="F42" s="18">
        <f t="shared" si="0"/>
        <v>12.738853503184712</v>
      </c>
      <c r="G42" s="15">
        <v>3</v>
      </c>
      <c r="H42" s="15">
        <v>8</v>
      </c>
      <c r="I42" s="19">
        <v>5</v>
      </c>
      <c r="J42" s="19" t="s">
        <v>98</v>
      </c>
      <c r="K42" s="19"/>
      <c r="L42">
        <v>1</v>
      </c>
    </row>
    <row r="43" spans="1:12" ht="66.75" thickBot="1" x14ac:dyDescent="0.3">
      <c r="A43" s="15">
        <v>42</v>
      </c>
      <c r="B43" s="16"/>
      <c r="C43" s="15" t="s">
        <v>88</v>
      </c>
      <c r="D43" s="17" t="s">
        <v>102</v>
      </c>
      <c r="E43" s="15">
        <v>100</v>
      </c>
      <c r="F43" s="18">
        <f t="shared" si="0"/>
        <v>15.923566878980891</v>
      </c>
      <c r="G43" s="15">
        <v>3</v>
      </c>
      <c r="H43" s="15">
        <v>8</v>
      </c>
      <c r="I43" s="19">
        <v>5</v>
      </c>
      <c r="J43" s="19" t="s">
        <v>98</v>
      </c>
      <c r="K43" s="19"/>
      <c r="L43">
        <v>1</v>
      </c>
    </row>
    <row r="44" spans="1:12" ht="66.75" thickBot="1" x14ac:dyDescent="0.3">
      <c r="A44" s="15">
        <v>43</v>
      </c>
      <c r="B44" s="16"/>
      <c r="C44" s="15" t="s">
        <v>88</v>
      </c>
      <c r="D44" s="17" t="s">
        <v>102</v>
      </c>
      <c r="E44" s="15">
        <v>100</v>
      </c>
      <c r="F44" s="18">
        <f t="shared" si="0"/>
        <v>15.923566878980891</v>
      </c>
      <c r="G44" s="15">
        <v>3</v>
      </c>
      <c r="H44" s="15">
        <v>8</v>
      </c>
      <c r="I44" s="19">
        <v>5</v>
      </c>
      <c r="J44" s="19" t="s">
        <v>98</v>
      </c>
      <c r="K44" s="19"/>
      <c r="L44">
        <v>1</v>
      </c>
    </row>
    <row r="45" spans="1:12" ht="66.75" thickBot="1" x14ac:dyDescent="0.3">
      <c r="A45" s="15">
        <v>44</v>
      </c>
      <c r="B45" s="16"/>
      <c r="C45" s="15" t="s">
        <v>88</v>
      </c>
      <c r="D45" s="17" t="s">
        <v>102</v>
      </c>
      <c r="E45" s="15">
        <v>80</v>
      </c>
      <c r="F45" s="18">
        <f t="shared" si="0"/>
        <v>12.738853503184712</v>
      </c>
      <c r="G45" s="15">
        <v>3</v>
      </c>
      <c r="H45" s="15">
        <v>7</v>
      </c>
      <c r="I45" s="19">
        <v>5</v>
      </c>
      <c r="J45" s="19" t="s">
        <v>98</v>
      </c>
      <c r="K45" s="19"/>
      <c r="L45">
        <v>1</v>
      </c>
    </row>
    <row r="46" spans="1:12" ht="83.25" thickBot="1" x14ac:dyDescent="0.3">
      <c r="A46" s="15">
        <v>45</v>
      </c>
      <c r="B46" s="16"/>
      <c r="C46" s="15" t="s">
        <v>88</v>
      </c>
      <c r="D46" s="17" t="s">
        <v>101</v>
      </c>
      <c r="E46" s="15">
        <v>120</v>
      </c>
      <c r="F46" s="18">
        <f t="shared" si="0"/>
        <v>19.108280254777068</v>
      </c>
      <c r="G46" s="15">
        <v>6</v>
      </c>
      <c r="H46" s="15">
        <v>5</v>
      </c>
      <c r="I46" s="19">
        <v>5</v>
      </c>
      <c r="J46" s="19"/>
      <c r="K46" s="19"/>
      <c r="L46">
        <v>1</v>
      </c>
    </row>
    <row r="47" spans="1:12" ht="66.75" thickBot="1" x14ac:dyDescent="0.3">
      <c r="A47" s="15">
        <v>46</v>
      </c>
      <c r="B47" s="16"/>
      <c r="C47" s="15" t="s">
        <v>88</v>
      </c>
      <c r="D47" s="17" t="s">
        <v>89</v>
      </c>
      <c r="E47" s="15">
        <v>180</v>
      </c>
      <c r="F47" s="18">
        <f t="shared" si="0"/>
        <v>28.662420382165603</v>
      </c>
      <c r="G47" s="15">
        <v>7</v>
      </c>
      <c r="H47" s="15">
        <v>8</v>
      </c>
      <c r="I47" s="19">
        <v>5</v>
      </c>
      <c r="J47" s="19"/>
      <c r="K47" s="19"/>
      <c r="L47">
        <v>1</v>
      </c>
    </row>
    <row r="48" spans="1:12" ht="66.75" thickBot="1" x14ac:dyDescent="0.3">
      <c r="A48" s="15">
        <v>47</v>
      </c>
      <c r="B48" s="16"/>
      <c r="C48" s="15" t="s">
        <v>88</v>
      </c>
      <c r="D48" s="17" t="s">
        <v>89</v>
      </c>
      <c r="E48" s="15">
        <v>130</v>
      </c>
      <c r="F48" s="18">
        <f t="shared" si="0"/>
        <v>20.700636942675157</v>
      </c>
      <c r="G48" s="15">
        <v>4</v>
      </c>
      <c r="H48" s="15">
        <v>8</v>
      </c>
      <c r="I48" s="19">
        <v>5</v>
      </c>
      <c r="J48" s="19"/>
      <c r="K48" s="19"/>
      <c r="L48">
        <v>1</v>
      </c>
    </row>
    <row r="49" spans="1:12" ht="66.75" thickBot="1" x14ac:dyDescent="0.3">
      <c r="A49" s="15">
        <v>48</v>
      </c>
      <c r="B49" s="16"/>
      <c r="C49" s="15" t="s">
        <v>88</v>
      </c>
      <c r="D49" s="17" t="s">
        <v>103</v>
      </c>
      <c r="E49" s="15">
        <v>180</v>
      </c>
      <c r="F49" s="18">
        <f t="shared" si="0"/>
        <v>28.662420382165603</v>
      </c>
      <c r="G49" s="15">
        <v>3</v>
      </c>
      <c r="H49" s="15">
        <v>8</v>
      </c>
      <c r="I49" s="19">
        <v>5</v>
      </c>
      <c r="J49" s="19"/>
      <c r="K49" s="19"/>
      <c r="L49">
        <v>1</v>
      </c>
    </row>
    <row r="50" spans="1:12" ht="66.75" thickBot="1" x14ac:dyDescent="0.3">
      <c r="A50" s="15">
        <v>49</v>
      </c>
      <c r="B50" s="16"/>
      <c r="C50" s="15" t="s">
        <v>88</v>
      </c>
      <c r="D50" s="17" t="s">
        <v>89</v>
      </c>
      <c r="E50" s="15">
        <v>100</v>
      </c>
      <c r="F50" s="18">
        <f t="shared" si="0"/>
        <v>15.923566878980891</v>
      </c>
      <c r="G50" s="15">
        <v>4.5</v>
      </c>
      <c r="H50" s="15">
        <v>7</v>
      </c>
      <c r="I50" s="19">
        <v>5</v>
      </c>
      <c r="J50" s="19"/>
      <c r="K50" s="19"/>
      <c r="L50">
        <v>1</v>
      </c>
    </row>
    <row r="51" spans="1:12" ht="66.75" thickBot="1" x14ac:dyDescent="0.3">
      <c r="A51" s="15">
        <v>50</v>
      </c>
      <c r="B51" s="16"/>
      <c r="C51" s="15" t="s">
        <v>88</v>
      </c>
      <c r="D51" s="17" t="s">
        <v>103</v>
      </c>
      <c r="E51" s="15">
        <v>180</v>
      </c>
      <c r="F51" s="18">
        <f t="shared" si="0"/>
        <v>28.662420382165603</v>
      </c>
      <c r="G51" s="15">
        <v>6</v>
      </c>
      <c r="H51" s="15">
        <v>7</v>
      </c>
      <c r="I51" s="19">
        <v>5</v>
      </c>
      <c r="J51" s="19"/>
      <c r="K51" s="19"/>
      <c r="L51">
        <v>1</v>
      </c>
    </row>
    <row r="52" spans="1:12" ht="83.25" thickBot="1" x14ac:dyDescent="0.3">
      <c r="A52" s="15">
        <v>51</v>
      </c>
      <c r="B52" s="16"/>
      <c r="C52" s="15" t="s">
        <v>88</v>
      </c>
      <c r="D52" s="17" t="s">
        <v>96</v>
      </c>
      <c r="E52" s="15">
        <v>150</v>
      </c>
      <c r="F52" s="18">
        <f t="shared" si="0"/>
        <v>23.885350318471335</v>
      </c>
      <c r="G52" s="15">
        <v>4</v>
      </c>
      <c r="H52" s="15">
        <v>4.5</v>
      </c>
      <c r="I52" s="19">
        <v>5</v>
      </c>
      <c r="J52" s="19" t="s">
        <v>100</v>
      </c>
      <c r="K52" s="19"/>
      <c r="L52">
        <v>1</v>
      </c>
    </row>
    <row r="53" spans="1:12" ht="66.75" thickBot="1" x14ac:dyDescent="0.3">
      <c r="A53" s="15">
        <v>52</v>
      </c>
      <c r="B53" s="16"/>
      <c r="C53" s="15" t="s">
        <v>88</v>
      </c>
      <c r="D53" s="17" t="s">
        <v>103</v>
      </c>
      <c r="E53" s="15">
        <v>180</v>
      </c>
      <c r="F53" s="18">
        <f t="shared" si="0"/>
        <v>28.662420382165603</v>
      </c>
      <c r="G53" s="15">
        <v>6.5</v>
      </c>
      <c r="H53" s="15">
        <v>8</v>
      </c>
      <c r="I53" s="19">
        <v>5</v>
      </c>
      <c r="J53" s="19"/>
      <c r="K53" s="19"/>
      <c r="L53">
        <v>1</v>
      </c>
    </row>
    <row r="54" spans="1:12" ht="66.75" thickBot="1" x14ac:dyDescent="0.3">
      <c r="A54" s="15">
        <v>53</v>
      </c>
      <c r="B54" s="16"/>
      <c r="C54" s="15" t="s">
        <v>88</v>
      </c>
      <c r="D54" s="17" t="s">
        <v>103</v>
      </c>
      <c r="E54" s="15">
        <v>1600</v>
      </c>
      <c r="F54" s="18">
        <f t="shared" si="0"/>
        <v>254.77707006369425</v>
      </c>
      <c r="G54" s="15">
        <v>6</v>
      </c>
      <c r="H54" s="15">
        <v>8</v>
      </c>
      <c r="I54" s="19">
        <v>5</v>
      </c>
      <c r="J54" s="19"/>
      <c r="K54" s="19"/>
      <c r="L54">
        <v>1</v>
      </c>
    </row>
    <row r="55" spans="1:12" ht="83.25" thickBot="1" x14ac:dyDescent="0.3">
      <c r="A55" s="15">
        <v>54</v>
      </c>
      <c r="B55" s="16"/>
      <c r="C55" s="15" t="s">
        <v>88</v>
      </c>
      <c r="D55" s="17" t="s">
        <v>101</v>
      </c>
      <c r="E55" s="15">
        <v>140</v>
      </c>
      <c r="F55" s="18">
        <f t="shared" si="0"/>
        <v>22.292993630573246</v>
      </c>
      <c r="G55" s="15">
        <v>6</v>
      </c>
      <c r="H55" s="15">
        <v>8</v>
      </c>
      <c r="I55" s="19">
        <v>5</v>
      </c>
      <c r="J55" s="19"/>
      <c r="K55" s="19"/>
      <c r="L55">
        <v>1</v>
      </c>
    </row>
    <row r="56" spans="1:12" ht="66.75" thickBot="1" x14ac:dyDescent="0.3">
      <c r="A56" s="15">
        <v>55</v>
      </c>
      <c r="B56" s="16"/>
      <c r="C56" s="15" t="s">
        <v>88</v>
      </c>
      <c r="D56" s="17" t="s">
        <v>103</v>
      </c>
      <c r="E56" s="15">
        <v>160</v>
      </c>
      <c r="F56" s="18">
        <f t="shared" si="0"/>
        <v>25.477707006369425</v>
      </c>
      <c r="G56" s="15">
        <v>6</v>
      </c>
      <c r="H56" s="15">
        <v>7</v>
      </c>
      <c r="I56" s="19">
        <v>4</v>
      </c>
      <c r="J56" s="19"/>
      <c r="K56" s="19"/>
      <c r="L56">
        <v>1</v>
      </c>
    </row>
    <row r="57" spans="1:12" ht="83.25" thickBot="1" x14ac:dyDescent="0.3">
      <c r="A57" s="15">
        <v>56</v>
      </c>
      <c r="B57" s="16"/>
      <c r="C57" s="15" t="s">
        <v>88</v>
      </c>
      <c r="D57" s="17" t="s">
        <v>101</v>
      </c>
      <c r="E57" s="15">
        <v>110</v>
      </c>
      <c r="F57" s="18">
        <f t="shared" si="0"/>
        <v>17.515923566878982</v>
      </c>
      <c r="G57" s="15">
        <v>3</v>
      </c>
      <c r="H57" s="15">
        <v>8</v>
      </c>
      <c r="I57" s="19">
        <v>5</v>
      </c>
      <c r="J57" s="19"/>
      <c r="K57" s="19"/>
      <c r="L57">
        <v>1</v>
      </c>
    </row>
    <row r="58" spans="1:12" ht="83.25" thickBot="1" x14ac:dyDescent="0.3">
      <c r="A58" s="15">
        <v>57</v>
      </c>
      <c r="B58" s="16"/>
      <c r="C58" s="15" t="s">
        <v>88</v>
      </c>
      <c r="D58" s="17" t="s">
        <v>101</v>
      </c>
      <c r="E58" s="15">
        <v>140</v>
      </c>
      <c r="F58" s="18">
        <f t="shared" si="0"/>
        <v>22.292993630573246</v>
      </c>
      <c r="G58" s="15">
        <v>5</v>
      </c>
      <c r="H58" s="15">
        <v>9</v>
      </c>
      <c r="I58" s="19">
        <v>5</v>
      </c>
      <c r="J58" s="19"/>
      <c r="K58" s="19"/>
      <c r="L58">
        <v>1</v>
      </c>
    </row>
    <row r="59" spans="1:12" ht="66.75" thickBot="1" x14ac:dyDescent="0.3">
      <c r="A59" s="15">
        <v>58</v>
      </c>
      <c r="B59" s="16"/>
      <c r="C59" s="15" t="s">
        <v>88</v>
      </c>
      <c r="D59" s="17" t="s">
        <v>103</v>
      </c>
      <c r="E59" s="15">
        <v>140</v>
      </c>
      <c r="F59" s="18">
        <f t="shared" si="0"/>
        <v>22.292993630573246</v>
      </c>
      <c r="G59" s="15">
        <v>6</v>
      </c>
      <c r="H59" s="15">
        <v>9</v>
      </c>
      <c r="I59" s="19">
        <v>5</v>
      </c>
      <c r="J59" s="19"/>
      <c r="K59" s="19"/>
      <c r="L59">
        <v>1</v>
      </c>
    </row>
    <row r="60" spans="1:12" ht="83.25" thickBot="1" x14ac:dyDescent="0.3">
      <c r="A60" s="15">
        <v>59</v>
      </c>
      <c r="B60" s="16"/>
      <c r="C60" s="15" t="s">
        <v>88</v>
      </c>
      <c r="D60" s="17" t="s">
        <v>101</v>
      </c>
      <c r="E60" s="15">
        <v>140</v>
      </c>
      <c r="F60" s="18">
        <f t="shared" si="0"/>
        <v>22.292993630573246</v>
      </c>
      <c r="G60" s="15">
        <v>4</v>
      </c>
      <c r="H60" s="15">
        <v>8</v>
      </c>
      <c r="I60" s="19">
        <v>5</v>
      </c>
      <c r="J60" s="19"/>
      <c r="K60" s="19"/>
      <c r="L60">
        <v>1</v>
      </c>
    </row>
    <row r="61" spans="1:12" ht="83.25" thickBot="1" x14ac:dyDescent="0.3">
      <c r="A61" s="15">
        <v>60</v>
      </c>
      <c r="B61" s="16"/>
      <c r="C61" s="15" t="s">
        <v>88</v>
      </c>
      <c r="D61" s="17" t="s">
        <v>101</v>
      </c>
      <c r="E61" s="15">
        <v>160</v>
      </c>
      <c r="F61" s="18">
        <f t="shared" si="0"/>
        <v>25.477707006369425</v>
      </c>
      <c r="G61" s="15">
        <v>5</v>
      </c>
      <c r="H61" s="15">
        <v>8</v>
      </c>
      <c r="I61" s="19">
        <v>5</v>
      </c>
      <c r="J61" s="19"/>
      <c r="K61" s="19"/>
      <c r="L61">
        <v>1</v>
      </c>
    </row>
    <row r="62" spans="1:12" ht="66.75" thickBot="1" x14ac:dyDescent="0.3">
      <c r="A62" s="15">
        <v>61</v>
      </c>
      <c r="B62" s="16"/>
      <c r="C62" s="15" t="s">
        <v>88</v>
      </c>
      <c r="D62" s="17" t="s">
        <v>103</v>
      </c>
      <c r="E62" s="15">
        <v>100</v>
      </c>
      <c r="F62" s="18">
        <f t="shared" si="0"/>
        <v>15.923566878980891</v>
      </c>
      <c r="G62" s="15">
        <v>5</v>
      </c>
      <c r="H62" s="15">
        <v>7</v>
      </c>
      <c r="I62" s="19">
        <v>5</v>
      </c>
      <c r="J62" s="19"/>
      <c r="K62" s="19"/>
      <c r="L62">
        <v>1</v>
      </c>
    </row>
    <row r="63" spans="1:12" ht="83.25" thickBot="1" x14ac:dyDescent="0.3">
      <c r="A63" s="15">
        <v>62</v>
      </c>
      <c r="B63" s="16"/>
      <c r="C63" s="15" t="s">
        <v>88</v>
      </c>
      <c r="D63" s="17" t="s">
        <v>101</v>
      </c>
      <c r="E63" s="15">
        <v>100</v>
      </c>
      <c r="F63" s="18">
        <f t="shared" si="0"/>
        <v>15.923566878980891</v>
      </c>
      <c r="G63" s="15">
        <v>3</v>
      </c>
      <c r="H63" s="15">
        <v>7</v>
      </c>
      <c r="I63" s="19">
        <v>5</v>
      </c>
      <c r="J63" s="19"/>
      <c r="K63" s="19"/>
      <c r="L63">
        <v>1</v>
      </c>
    </row>
    <row r="64" spans="1:12" ht="66.75" thickBot="1" x14ac:dyDescent="0.3">
      <c r="A64" s="15">
        <v>63</v>
      </c>
      <c r="B64" s="16"/>
      <c r="C64" s="15" t="s">
        <v>88</v>
      </c>
      <c r="D64" s="17" t="s">
        <v>103</v>
      </c>
      <c r="E64" s="15">
        <v>140</v>
      </c>
      <c r="F64" s="18">
        <f t="shared" si="0"/>
        <v>22.292993630573246</v>
      </c>
      <c r="G64" s="15">
        <v>6</v>
      </c>
      <c r="H64" s="15">
        <v>7</v>
      </c>
      <c r="I64" s="19">
        <v>5</v>
      </c>
      <c r="J64" s="19"/>
      <c r="K64" s="19"/>
      <c r="L64">
        <v>1</v>
      </c>
    </row>
    <row r="65" spans="1:12" ht="66.75" thickBot="1" x14ac:dyDescent="0.3">
      <c r="A65" s="15">
        <v>64</v>
      </c>
      <c r="B65" s="16"/>
      <c r="C65" s="15" t="s">
        <v>88</v>
      </c>
      <c r="D65" s="17" t="s">
        <v>103</v>
      </c>
      <c r="E65" s="15">
        <v>140</v>
      </c>
      <c r="F65" s="18">
        <f t="shared" si="0"/>
        <v>22.292993630573246</v>
      </c>
      <c r="G65" s="15">
        <v>6</v>
      </c>
      <c r="H65" s="15">
        <v>8</v>
      </c>
      <c r="I65" s="19">
        <v>5</v>
      </c>
      <c r="J65" s="19"/>
      <c r="K65" s="19"/>
      <c r="L65">
        <v>1</v>
      </c>
    </row>
    <row r="66" spans="1:12" ht="66.75" thickBot="1" x14ac:dyDescent="0.3">
      <c r="A66" s="15">
        <v>65</v>
      </c>
      <c r="B66" s="16"/>
      <c r="C66" s="15" t="s">
        <v>88</v>
      </c>
      <c r="D66" s="17" t="s">
        <v>103</v>
      </c>
      <c r="E66" s="15">
        <v>130</v>
      </c>
      <c r="F66" s="18">
        <f t="shared" si="0"/>
        <v>20.700636942675157</v>
      </c>
      <c r="G66" s="15">
        <v>6</v>
      </c>
      <c r="H66" s="15">
        <v>6</v>
      </c>
      <c r="I66" s="19">
        <v>5</v>
      </c>
      <c r="J66" s="19"/>
      <c r="K66" s="19"/>
      <c r="L66">
        <v>1</v>
      </c>
    </row>
    <row r="67" spans="1:12" ht="66.75" thickBot="1" x14ac:dyDescent="0.3">
      <c r="A67" s="15">
        <v>66</v>
      </c>
      <c r="B67" s="16"/>
      <c r="C67" s="15" t="s">
        <v>88</v>
      </c>
      <c r="D67" s="17" t="s">
        <v>103</v>
      </c>
      <c r="E67" s="15">
        <v>170</v>
      </c>
      <c r="F67" s="18">
        <f t="shared" ref="F67:F130" si="1">E67/(2*3.14)</f>
        <v>27.070063694267514</v>
      </c>
      <c r="G67" s="15">
        <v>6</v>
      </c>
      <c r="H67" s="15">
        <v>6</v>
      </c>
      <c r="I67" s="19">
        <v>5</v>
      </c>
      <c r="J67" s="19"/>
      <c r="K67" s="19"/>
      <c r="L67">
        <v>1</v>
      </c>
    </row>
    <row r="68" spans="1:12" ht="83.25" thickBot="1" x14ac:dyDescent="0.3">
      <c r="A68" s="15">
        <v>67</v>
      </c>
      <c r="B68" s="16"/>
      <c r="C68" s="15" t="s">
        <v>88</v>
      </c>
      <c r="D68" s="17" t="s">
        <v>101</v>
      </c>
      <c r="E68" s="15">
        <v>45</v>
      </c>
      <c r="F68" s="18">
        <f t="shared" si="1"/>
        <v>7.1656050955414008</v>
      </c>
      <c r="G68" s="15">
        <v>2</v>
      </c>
      <c r="H68" s="15">
        <v>3</v>
      </c>
      <c r="I68" s="19">
        <v>5</v>
      </c>
      <c r="J68" s="19" t="s">
        <v>99</v>
      </c>
      <c r="K68" s="19"/>
      <c r="L68">
        <v>1</v>
      </c>
    </row>
    <row r="69" spans="1:12" ht="66.75" thickBot="1" x14ac:dyDescent="0.3">
      <c r="A69" s="15">
        <v>68</v>
      </c>
      <c r="B69" s="16"/>
      <c r="C69" s="15" t="s">
        <v>88</v>
      </c>
      <c r="D69" s="17" t="s">
        <v>103</v>
      </c>
      <c r="E69" s="15">
        <v>190</v>
      </c>
      <c r="F69" s="18">
        <f t="shared" si="1"/>
        <v>30.254777070063692</v>
      </c>
      <c r="G69" s="15">
        <v>2</v>
      </c>
      <c r="H69" s="15">
        <v>8</v>
      </c>
      <c r="I69" s="19">
        <v>5</v>
      </c>
      <c r="J69" s="19"/>
      <c r="K69" s="19"/>
      <c r="L69">
        <v>1</v>
      </c>
    </row>
    <row r="70" spans="1:12" ht="66.75" thickBot="1" x14ac:dyDescent="0.3">
      <c r="A70" s="15">
        <v>69</v>
      </c>
      <c r="B70" s="16"/>
      <c r="C70" s="15" t="s">
        <v>88</v>
      </c>
      <c r="D70" s="17" t="s">
        <v>103</v>
      </c>
      <c r="E70" s="15">
        <v>330</v>
      </c>
      <c r="F70" s="18">
        <f t="shared" si="1"/>
        <v>52.547770700636939</v>
      </c>
      <c r="G70" s="15">
        <v>6</v>
      </c>
      <c r="H70" s="15">
        <v>10</v>
      </c>
      <c r="I70" s="19">
        <v>4</v>
      </c>
      <c r="J70" s="19" t="s">
        <v>104</v>
      </c>
      <c r="K70" s="19"/>
      <c r="L70">
        <v>1</v>
      </c>
    </row>
    <row r="71" spans="1:12" ht="50.25" thickBot="1" x14ac:dyDescent="0.3">
      <c r="A71" s="15">
        <v>70</v>
      </c>
      <c r="B71" s="16"/>
      <c r="C71" s="15" t="s">
        <v>88</v>
      </c>
      <c r="D71" s="17" t="s">
        <v>90</v>
      </c>
      <c r="E71" s="15">
        <v>300</v>
      </c>
      <c r="F71" s="18">
        <f t="shared" si="1"/>
        <v>47.770700636942671</v>
      </c>
      <c r="G71" s="15">
        <v>2</v>
      </c>
      <c r="H71" s="15">
        <v>2</v>
      </c>
      <c r="I71" s="19">
        <v>5</v>
      </c>
      <c r="J71" s="19"/>
      <c r="K71" s="19"/>
      <c r="L71">
        <v>1</v>
      </c>
    </row>
    <row r="72" spans="1:12" ht="66.75" thickBot="1" x14ac:dyDescent="0.3">
      <c r="A72" s="15">
        <v>71</v>
      </c>
      <c r="B72" s="16"/>
      <c r="C72" s="15" t="s">
        <v>88</v>
      </c>
      <c r="D72" s="17" t="s">
        <v>103</v>
      </c>
      <c r="E72" s="15">
        <v>180</v>
      </c>
      <c r="F72" s="18">
        <f t="shared" si="1"/>
        <v>28.662420382165603</v>
      </c>
      <c r="G72" s="15">
        <v>2</v>
      </c>
      <c r="H72" s="15">
        <v>7</v>
      </c>
      <c r="I72" s="19">
        <v>4</v>
      </c>
      <c r="J72" s="19"/>
      <c r="K72" s="19"/>
      <c r="L72">
        <v>1</v>
      </c>
    </row>
    <row r="73" spans="1:12" ht="66.75" thickBot="1" x14ac:dyDescent="0.3">
      <c r="A73" s="15">
        <v>72</v>
      </c>
      <c r="B73" s="16"/>
      <c r="C73" s="15" t="s">
        <v>88</v>
      </c>
      <c r="D73" s="17" t="s">
        <v>103</v>
      </c>
      <c r="E73" s="15">
        <v>310</v>
      </c>
      <c r="F73" s="18">
        <f t="shared" si="1"/>
        <v>49.36305732484076</v>
      </c>
      <c r="G73" s="15">
        <v>6</v>
      </c>
      <c r="H73" s="15">
        <v>9</v>
      </c>
      <c r="I73" s="19">
        <v>4</v>
      </c>
      <c r="J73" s="19"/>
      <c r="K73" s="19"/>
      <c r="L73">
        <v>1</v>
      </c>
    </row>
    <row r="74" spans="1:12" ht="66.75" thickBot="1" x14ac:dyDescent="0.3">
      <c r="A74" s="15">
        <v>73</v>
      </c>
      <c r="B74" s="16"/>
      <c r="C74" s="15" t="s">
        <v>88</v>
      </c>
      <c r="D74" s="17" t="s">
        <v>103</v>
      </c>
      <c r="E74" s="15">
        <v>310</v>
      </c>
      <c r="F74" s="18">
        <f t="shared" si="1"/>
        <v>49.36305732484076</v>
      </c>
      <c r="G74" s="15">
        <v>6</v>
      </c>
      <c r="H74" s="15">
        <v>9</v>
      </c>
      <c r="I74" s="19">
        <v>5</v>
      </c>
      <c r="J74" s="19"/>
      <c r="K74" s="19"/>
      <c r="L74">
        <v>1</v>
      </c>
    </row>
    <row r="75" spans="1:12" ht="66.75" thickBot="1" x14ac:dyDescent="0.3">
      <c r="A75" s="15">
        <v>74</v>
      </c>
      <c r="B75" s="16"/>
      <c r="C75" s="15" t="s">
        <v>88</v>
      </c>
      <c r="D75" s="17" t="s">
        <v>103</v>
      </c>
      <c r="E75" s="15">
        <v>240</v>
      </c>
      <c r="F75" s="18">
        <f t="shared" si="1"/>
        <v>38.216560509554135</v>
      </c>
      <c r="G75" s="15">
        <v>3</v>
      </c>
      <c r="H75" s="15">
        <v>7</v>
      </c>
      <c r="I75" s="19">
        <v>5</v>
      </c>
      <c r="J75" s="19"/>
      <c r="K75" s="19"/>
      <c r="L75">
        <v>1</v>
      </c>
    </row>
    <row r="76" spans="1:12" ht="50.25" thickBot="1" x14ac:dyDescent="0.3">
      <c r="A76" s="15">
        <v>75</v>
      </c>
      <c r="B76" s="16"/>
      <c r="C76" s="15" t="s">
        <v>88</v>
      </c>
      <c r="D76" s="17" t="s">
        <v>90</v>
      </c>
      <c r="E76" s="15">
        <v>170</v>
      </c>
      <c r="F76" s="18">
        <f t="shared" si="1"/>
        <v>27.070063694267514</v>
      </c>
      <c r="G76" s="15">
        <v>4</v>
      </c>
      <c r="H76" s="15">
        <v>5</v>
      </c>
      <c r="I76" s="19">
        <v>4</v>
      </c>
      <c r="J76" s="19"/>
      <c r="K76" s="19"/>
      <c r="L76">
        <v>1</v>
      </c>
    </row>
    <row r="77" spans="1:12" ht="66.75" thickBot="1" x14ac:dyDescent="0.3">
      <c r="A77" s="15">
        <v>76</v>
      </c>
      <c r="B77" s="16"/>
      <c r="C77" s="15" t="s">
        <v>88</v>
      </c>
      <c r="D77" s="17" t="s">
        <v>103</v>
      </c>
      <c r="E77" s="15">
        <v>70</v>
      </c>
      <c r="F77" s="18">
        <f t="shared" si="1"/>
        <v>11.146496815286623</v>
      </c>
      <c r="G77" s="15">
        <v>2</v>
      </c>
      <c r="H77" s="15">
        <v>4.5</v>
      </c>
      <c r="I77" s="19">
        <v>5</v>
      </c>
      <c r="J77" s="19"/>
      <c r="K77" s="19"/>
      <c r="L77">
        <v>1</v>
      </c>
    </row>
    <row r="78" spans="1:12" ht="66.75" thickBot="1" x14ac:dyDescent="0.3">
      <c r="A78" s="15">
        <v>77</v>
      </c>
      <c r="B78" s="16"/>
      <c r="C78" s="15" t="s">
        <v>88</v>
      </c>
      <c r="D78" s="17" t="s">
        <v>103</v>
      </c>
      <c r="E78" s="15">
        <v>310</v>
      </c>
      <c r="F78" s="18">
        <f t="shared" si="1"/>
        <v>49.36305732484076</v>
      </c>
      <c r="G78" s="15">
        <v>8</v>
      </c>
      <c r="H78" s="15">
        <v>10</v>
      </c>
      <c r="I78" s="19">
        <v>5</v>
      </c>
      <c r="J78" s="19"/>
      <c r="K78" s="19"/>
      <c r="L78">
        <v>1</v>
      </c>
    </row>
    <row r="79" spans="1:12" ht="66.75" thickBot="1" x14ac:dyDescent="0.3">
      <c r="A79" s="15">
        <v>78</v>
      </c>
      <c r="B79" s="16"/>
      <c r="C79" s="15" t="s">
        <v>88</v>
      </c>
      <c r="D79" s="17" t="s">
        <v>103</v>
      </c>
      <c r="E79" s="15">
        <v>70</v>
      </c>
      <c r="F79" s="18">
        <f t="shared" si="1"/>
        <v>11.146496815286623</v>
      </c>
      <c r="G79" s="15">
        <v>4</v>
      </c>
      <c r="H79" s="15">
        <v>5</v>
      </c>
      <c r="I79" s="19">
        <v>5</v>
      </c>
      <c r="J79" s="19" t="s">
        <v>100</v>
      </c>
      <c r="K79" s="19"/>
      <c r="L79">
        <v>1</v>
      </c>
    </row>
    <row r="80" spans="1:12" ht="66.75" thickBot="1" x14ac:dyDescent="0.3">
      <c r="A80" s="15">
        <v>79</v>
      </c>
      <c r="B80" s="16"/>
      <c r="C80" s="15" t="s">
        <v>88</v>
      </c>
      <c r="D80" s="17" t="s">
        <v>91</v>
      </c>
      <c r="E80" s="15">
        <v>100</v>
      </c>
      <c r="F80" s="18">
        <f t="shared" si="1"/>
        <v>15.923566878980891</v>
      </c>
      <c r="G80" s="15">
        <v>4</v>
      </c>
      <c r="H80" s="15">
        <v>5</v>
      </c>
      <c r="I80" s="19">
        <v>5</v>
      </c>
      <c r="J80" s="19" t="s">
        <v>99</v>
      </c>
      <c r="K80" s="19"/>
      <c r="L80">
        <v>1</v>
      </c>
    </row>
    <row r="81" spans="1:13" ht="66.75" thickBot="1" x14ac:dyDescent="0.3">
      <c r="A81" s="15">
        <v>80</v>
      </c>
      <c r="B81" s="16"/>
      <c r="C81" s="15" t="s">
        <v>88</v>
      </c>
      <c r="D81" s="17" t="s">
        <v>103</v>
      </c>
      <c r="E81" s="15">
        <v>100</v>
      </c>
      <c r="F81" s="18">
        <f t="shared" si="1"/>
        <v>15.923566878980891</v>
      </c>
      <c r="G81" s="15">
        <v>4</v>
      </c>
      <c r="H81" s="15">
        <v>4.5</v>
      </c>
      <c r="I81" s="19">
        <v>5</v>
      </c>
      <c r="J81" s="19" t="s">
        <v>100</v>
      </c>
      <c r="K81" s="19"/>
      <c r="L81">
        <v>1</v>
      </c>
    </row>
    <row r="82" spans="1:13" ht="66.75" thickBot="1" x14ac:dyDescent="0.3">
      <c r="A82" s="43">
        <v>81</v>
      </c>
      <c r="B82" s="43"/>
      <c r="C82" s="43" t="s">
        <v>88</v>
      </c>
      <c r="D82" s="44" t="s">
        <v>103</v>
      </c>
      <c r="E82" s="43">
        <v>75</v>
      </c>
      <c r="F82" s="45">
        <f t="shared" si="1"/>
        <v>11.942675159235668</v>
      </c>
      <c r="G82" s="43">
        <v>3</v>
      </c>
      <c r="H82" s="43">
        <v>4</v>
      </c>
      <c r="I82" s="46">
        <v>5</v>
      </c>
      <c r="J82" s="46" t="s">
        <v>99</v>
      </c>
      <c r="K82" s="46" t="s">
        <v>95</v>
      </c>
      <c r="L82" s="47">
        <v>1</v>
      </c>
      <c r="M82" s="47" t="s">
        <v>187</v>
      </c>
    </row>
    <row r="83" spans="1:13" ht="33.75" thickBot="1" x14ac:dyDescent="0.3">
      <c r="A83" s="43">
        <v>82</v>
      </c>
      <c r="B83" s="43"/>
      <c r="C83" s="43" t="s">
        <v>88</v>
      </c>
      <c r="D83" s="44" t="s">
        <v>94</v>
      </c>
      <c r="E83" s="43"/>
      <c r="F83" s="45">
        <f t="shared" si="1"/>
        <v>0</v>
      </c>
      <c r="G83" s="43"/>
      <c r="H83" s="43"/>
      <c r="I83" s="46"/>
      <c r="J83" s="46"/>
      <c r="K83" s="46" t="s">
        <v>95</v>
      </c>
      <c r="L83" s="47">
        <v>1</v>
      </c>
      <c r="M83" s="47" t="s">
        <v>187</v>
      </c>
    </row>
    <row r="84" spans="1:13" ht="99.75" thickBot="1" x14ac:dyDescent="0.3">
      <c r="A84" s="43">
        <v>83</v>
      </c>
      <c r="B84" s="43"/>
      <c r="C84" s="43" t="s">
        <v>88</v>
      </c>
      <c r="D84" s="44" t="s">
        <v>105</v>
      </c>
      <c r="E84" s="43">
        <v>55</v>
      </c>
      <c r="F84" s="45">
        <f t="shared" si="1"/>
        <v>8.7579617834394909</v>
      </c>
      <c r="G84" s="43">
        <v>3</v>
      </c>
      <c r="H84" s="43">
        <v>4</v>
      </c>
      <c r="I84" s="46">
        <v>5</v>
      </c>
      <c r="J84" s="46" t="s">
        <v>99</v>
      </c>
      <c r="K84" s="46" t="s">
        <v>95</v>
      </c>
      <c r="L84" s="47">
        <v>1</v>
      </c>
      <c r="M84" s="47" t="s">
        <v>187</v>
      </c>
    </row>
    <row r="85" spans="1:13" ht="66.75" thickBot="1" x14ac:dyDescent="0.3">
      <c r="A85" s="43">
        <v>84</v>
      </c>
      <c r="B85" s="43"/>
      <c r="C85" s="43" t="s">
        <v>88</v>
      </c>
      <c r="D85" s="44" t="s">
        <v>91</v>
      </c>
      <c r="E85" s="43">
        <v>86</v>
      </c>
      <c r="F85" s="45">
        <f t="shared" si="1"/>
        <v>13.694267515923567</v>
      </c>
      <c r="G85" s="43">
        <v>5</v>
      </c>
      <c r="H85" s="43">
        <v>4.5</v>
      </c>
      <c r="I85" s="46">
        <v>5</v>
      </c>
      <c r="J85" s="46" t="s">
        <v>99</v>
      </c>
      <c r="K85" s="46" t="s">
        <v>95</v>
      </c>
      <c r="L85" s="47">
        <v>1</v>
      </c>
      <c r="M85" s="47" t="s">
        <v>187</v>
      </c>
    </row>
    <row r="86" spans="1:13" ht="66.75" thickBot="1" x14ac:dyDescent="0.3">
      <c r="A86" s="43">
        <v>85</v>
      </c>
      <c r="B86" s="43"/>
      <c r="C86" s="43" t="s">
        <v>88</v>
      </c>
      <c r="D86" s="44" t="s">
        <v>103</v>
      </c>
      <c r="E86" s="43">
        <v>80</v>
      </c>
      <c r="F86" s="45">
        <f t="shared" si="1"/>
        <v>12.738853503184712</v>
      </c>
      <c r="G86" s="43">
        <v>2</v>
      </c>
      <c r="H86" s="43">
        <v>5</v>
      </c>
      <c r="I86" s="46">
        <v>2</v>
      </c>
      <c r="J86" s="46" t="s">
        <v>106</v>
      </c>
      <c r="K86" s="46" t="s">
        <v>95</v>
      </c>
      <c r="L86" s="47">
        <v>1</v>
      </c>
      <c r="M86" s="47" t="s">
        <v>187</v>
      </c>
    </row>
    <row r="87" spans="1:13" ht="66.75" thickBot="1" x14ac:dyDescent="0.3">
      <c r="A87" s="15">
        <v>86</v>
      </c>
      <c r="B87" s="16"/>
      <c r="C87" s="15" t="s">
        <v>107</v>
      </c>
      <c r="D87" s="17" t="s">
        <v>103</v>
      </c>
      <c r="E87" s="15">
        <v>30</v>
      </c>
      <c r="F87" s="18">
        <f t="shared" si="1"/>
        <v>4.7770700636942669</v>
      </c>
      <c r="G87" s="15">
        <v>3</v>
      </c>
      <c r="H87" s="15">
        <v>4</v>
      </c>
      <c r="I87" s="19">
        <v>5</v>
      </c>
      <c r="J87" s="19" t="s">
        <v>100</v>
      </c>
      <c r="K87" s="19"/>
      <c r="L87">
        <v>1</v>
      </c>
    </row>
    <row r="88" spans="1:13" ht="66.75" thickBot="1" x14ac:dyDescent="0.3">
      <c r="A88" s="15">
        <v>87</v>
      </c>
      <c r="B88" s="16"/>
      <c r="C88" s="15" t="s">
        <v>107</v>
      </c>
      <c r="D88" s="17" t="s">
        <v>103</v>
      </c>
      <c r="E88" s="15">
        <v>178</v>
      </c>
      <c r="F88" s="18">
        <f t="shared" si="1"/>
        <v>28.343949044585987</v>
      </c>
      <c r="G88" s="15">
        <v>4.5</v>
      </c>
      <c r="H88" s="15">
        <v>6</v>
      </c>
      <c r="I88" s="19">
        <v>4</v>
      </c>
      <c r="J88" s="19" t="s">
        <v>98</v>
      </c>
      <c r="K88" s="19"/>
      <c r="L88">
        <v>1</v>
      </c>
    </row>
    <row r="89" spans="1:13" ht="99.75" thickBot="1" x14ac:dyDescent="0.3">
      <c r="A89" s="43">
        <v>88</v>
      </c>
      <c r="B89" s="43"/>
      <c r="C89" s="43" t="s">
        <v>107</v>
      </c>
      <c r="D89" s="44" t="s">
        <v>105</v>
      </c>
      <c r="E89" s="43">
        <v>60</v>
      </c>
      <c r="F89" s="45">
        <f t="shared" si="1"/>
        <v>9.5541401273885338</v>
      </c>
      <c r="G89" s="43">
        <v>2.5</v>
      </c>
      <c r="H89" s="43">
        <v>3</v>
      </c>
      <c r="I89" s="46">
        <v>5</v>
      </c>
      <c r="J89" s="46" t="s">
        <v>98</v>
      </c>
      <c r="K89" s="46" t="s">
        <v>95</v>
      </c>
      <c r="L89" s="47">
        <v>1</v>
      </c>
      <c r="M89" s="47" t="s">
        <v>187</v>
      </c>
    </row>
    <row r="90" spans="1:13" ht="99.75" thickBot="1" x14ac:dyDescent="0.3">
      <c r="A90" s="43">
        <v>89</v>
      </c>
      <c r="B90" s="43"/>
      <c r="C90" s="43" t="s">
        <v>107</v>
      </c>
      <c r="D90" s="44" t="s">
        <v>105</v>
      </c>
      <c r="E90" s="43">
        <v>65</v>
      </c>
      <c r="F90" s="45">
        <f t="shared" si="1"/>
        <v>10.350318471337578</v>
      </c>
      <c r="G90" s="43">
        <v>2.5</v>
      </c>
      <c r="H90" s="43">
        <v>3</v>
      </c>
      <c r="I90" s="46">
        <v>5</v>
      </c>
      <c r="J90" s="46" t="s">
        <v>99</v>
      </c>
      <c r="K90" s="46" t="s">
        <v>95</v>
      </c>
      <c r="L90" s="47">
        <v>1</v>
      </c>
      <c r="M90" s="47" t="s">
        <v>187</v>
      </c>
    </row>
    <row r="91" spans="1:13" ht="66.75" thickBot="1" x14ac:dyDescent="0.3">
      <c r="A91" s="43">
        <v>90</v>
      </c>
      <c r="B91" s="43"/>
      <c r="C91" s="43" t="s">
        <v>107</v>
      </c>
      <c r="D91" s="44" t="s">
        <v>103</v>
      </c>
      <c r="E91" s="43">
        <v>95</v>
      </c>
      <c r="F91" s="45">
        <f t="shared" si="1"/>
        <v>15.127388535031846</v>
      </c>
      <c r="G91" s="43">
        <v>3</v>
      </c>
      <c r="H91" s="43">
        <v>4.5</v>
      </c>
      <c r="I91" s="46">
        <v>5</v>
      </c>
      <c r="J91" s="46"/>
      <c r="K91" s="46" t="s">
        <v>95</v>
      </c>
      <c r="L91" s="47">
        <v>1</v>
      </c>
      <c r="M91" s="47" t="s">
        <v>187</v>
      </c>
    </row>
    <row r="92" spans="1:13" ht="66.75" thickBot="1" x14ac:dyDescent="0.3">
      <c r="A92" s="43">
        <v>91</v>
      </c>
      <c r="B92" s="43"/>
      <c r="C92" s="43" t="s">
        <v>107</v>
      </c>
      <c r="D92" s="44" t="s">
        <v>103</v>
      </c>
      <c r="E92" s="43">
        <v>40</v>
      </c>
      <c r="F92" s="45">
        <f t="shared" si="1"/>
        <v>6.3694267515923562</v>
      </c>
      <c r="G92" s="43">
        <v>4</v>
      </c>
      <c r="H92" s="43">
        <v>4</v>
      </c>
      <c r="I92" s="46">
        <v>4</v>
      </c>
      <c r="J92" s="46" t="s">
        <v>100</v>
      </c>
      <c r="K92" s="46" t="s">
        <v>95</v>
      </c>
      <c r="L92" s="47">
        <v>1</v>
      </c>
      <c r="M92" s="47" t="s">
        <v>187</v>
      </c>
    </row>
    <row r="93" spans="1:13" ht="66.75" thickBot="1" x14ac:dyDescent="0.3">
      <c r="A93" s="43">
        <v>92</v>
      </c>
      <c r="B93" s="43"/>
      <c r="C93" s="43" t="s">
        <v>107</v>
      </c>
      <c r="D93" s="44" t="s">
        <v>103</v>
      </c>
      <c r="E93" s="43">
        <v>100</v>
      </c>
      <c r="F93" s="45">
        <f t="shared" si="1"/>
        <v>15.923566878980891</v>
      </c>
      <c r="G93" s="43">
        <v>4</v>
      </c>
      <c r="H93" s="43">
        <v>5</v>
      </c>
      <c r="I93" s="46">
        <v>5</v>
      </c>
      <c r="J93" s="46" t="s">
        <v>100</v>
      </c>
      <c r="K93" s="46" t="s">
        <v>95</v>
      </c>
      <c r="L93" s="47">
        <v>1</v>
      </c>
      <c r="M93" s="47" t="s">
        <v>187</v>
      </c>
    </row>
    <row r="94" spans="1:13" ht="66.75" thickBot="1" x14ac:dyDescent="0.3">
      <c r="A94" s="43">
        <v>93</v>
      </c>
      <c r="B94" s="43"/>
      <c r="C94" s="43" t="s">
        <v>107</v>
      </c>
      <c r="D94" s="44" t="s">
        <v>103</v>
      </c>
      <c r="E94" s="43">
        <v>75</v>
      </c>
      <c r="F94" s="45">
        <f t="shared" si="1"/>
        <v>11.942675159235668</v>
      </c>
      <c r="G94" s="43">
        <v>5</v>
      </c>
      <c r="H94" s="43">
        <v>5</v>
      </c>
      <c r="I94" s="46">
        <v>5</v>
      </c>
      <c r="J94" s="46" t="s">
        <v>100</v>
      </c>
      <c r="K94" s="46" t="s">
        <v>95</v>
      </c>
      <c r="L94" s="47">
        <v>1</v>
      </c>
      <c r="M94" s="47" t="s">
        <v>187</v>
      </c>
    </row>
    <row r="95" spans="1:13" ht="66.75" thickBot="1" x14ac:dyDescent="0.3">
      <c r="A95" s="43">
        <v>94</v>
      </c>
      <c r="B95" s="43"/>
      <c r="C95" s="43" t="s">
        <v>107</v>
      </c>
      <c r="D95" s="44" t="s">
        <v>103</v>
      </c>
      <c r="E95" s="43">
        <v>100</v>
      </c>
      <c r="F95" s="45">
        <f t="shared" si="1"/>
        <v>15.923566878980891</v>
      </c>
      <c r="G95" s="43">
        <v>4</v>
      </c>
      <c r="H95" s="43">
        <v>4</v>
      </c>
      <c r="I95" s="46">
        <v>5</v>
      </c>
      <c r="J95" s="46" t="s">
        <v>108</v>
      </c>
      <c r="K95" s="46" t="s">
        <v>95</v>
      </c>
      <c r="L95" s="47">
        <v>1</v>
      </c>
      <c r="M95" s="47" t="s">
        <v>187</v>
      </c>
    </row>
    <row r="96" spans="1:13" ht="99.75" thickBot="1" x14ac:dyDescent="0.3">
      <c r="A96" s="43">
        <v>95</v>
      </c>
      <c r="B96" s="43"/>
      <c r="C96" s="43" t="s">
        <v>107</v>
      </c>
      <c r="D96" s="44" t="s">
        <v>109</v>
      </c>
      <c r="E96" s="43">
        <v>30</v>
      </c>
      <c r="F96" s="45">
        <f t="shared" si="1"/>
        <v>4.7770700636942669</v>
      </c>
      <c r="G96" s="43">
        <v>2.5</v>
      </c>
      <c r="H96" s="43">
        <v>3.5</v>
      </c>
      <c r="I96" s="46">
        <v>5</v>
      </c>
      <c r="J96" s="46" t="s">
        <v>100</v>
      </c>
      <c r="K96" s="46" t="s">
        <v>95</v>
      </c>
      <c r="L96" s="47">
        <v>1</v>
      </c>
      <c r="M96" s="47" t="s">
        <v>187</v>
      </c>
    </row>
    <row r="97" spans="1:13" ht="66.75" thickBot="1" x14ac:dyDescent="0.3">
      <c r="A97" s="43">
        <v>96</v>
      </c>
      <c r="B97" s="43"/>
      <c r="C97" s="43" t="s">
        <v>107</v>
      </c>
      <c r="D97" s="44" t="s">
        <v>103</v>
      </c>
      <c r="E97" s="43">
        <v>95</v>
      </c>
      <c r="F97" s="45">
        <f t="shared" si="1"/>
        <v>15.127388535031846</v>
      </c>
      <c r="G97" s="43">
        <v>3.5</v>
      </c>
      <c r="H97" s="43">
        <v>4.5</v>
      </c>
      <c r="I97" s="46">
        <v>4</v>
      </c>
      <c r="J97" s="46" t="s">
        <v>110</v>
      </c>
      <c r="K97" s="46" t="s">
        <v>95</v>
      </c>
      <c r="L97" s="47">
        <v>1</v>
      </c>
      <c r="M97" s="47" t="s">
        <v>187</v>
      </c>
    </row>
    <row r="98" spans="1:13" ht="66.75" thickBot="1" x14ac:dyDescent="0.3">
      <c r="A98" s="43">
        <v>97</v>
      </c>
      <c r="B98" s="43"/>
      <c r="C98" s="43" t="s">
        <v>107</v>
      </c>
      <c r="D98" s="44" t="s">
        <v>102</v>
      </c>
      <c r="E98" s="43">
        <v>40</v>
      </c>
      <c r="F98" s="45">
        <f t="shared" si="1"/>
        <v>6.3694267515923562</v>
      </c>
      <c r="G98" s="43">
        <v>1.5</v>
      </c>
      <c r="H98" s="43">
        <v>3</v>
      </c>
      <c r="I98" s="46">
        <v>4</v>
      </c>
      <c r="J98" s="46" t="s">
        <v>108</v>
      </c>
      <c r="K98" s="46" t="s">
        <v>95</v>
      </c>
      <c r="L98" s="47">
        <v>1</v>
      </c>
      <c r="M98" s="47" t="s">
        <v>187</v>
      </c>
    </row>
    <row r="99" spans="1:13" ht="66.75" thickBot="1" x14ac:dyDescent="0.3">
      <c r="A99" s="15">
        <v>98</v>
      </c>
      <c r="B99" s="16"/>
      <c r="C99" s="15" t="s">
        <v>107</v>
      </c>
      <c r="D99" s="17" t="s">
        <v>93</v>
      </c>
      <c r="E99" s="15">
        <v>130</v>
      </c>
      <c r="F99" s="18">
        <f t="shared" si="1"/>
        <v>20.700636942675157</v>
      </c>
      <c r="G99" s="15">
        <v>5</v>
      </c>
      <c r="H99" s="15">
        <v>6</v>
      </c>
      <c r="I99" s="19">
        <v>5</v>
      </c>
      <c r="J99" s="19" t="s">
        <v>98</v>
      </c>
      <c r="K99" s="19"/>
      <c r="L99">
        <v>1</v>
      </c>
    </row>
    <row r="100" spans="1:13" ht="66.75" thickBot="1" x14ac:dyDescent="0.3">
      <c r="A100" s="15">
        <v>99</v>
      </c>
      <c r="B100" s="16"/>
      <c r="C100" s="15" t="s">
        <v>107</v>
      </c>
      <c r="D100" s="17" t="s">
        <v>91</v>
      </c>
      <c r="E100" s="15">
        <v>80</v>
      </c>
      <c r="F100" s="18">
        <f t="shared" si="1"/>
        <v>12.738853503184712</v>
      </c>
      <c r="G100" s="15">
        <v>3</v>
      </c>
      <c r="H100" s="15">
        <v>6</v>
      </c>
      <c r="I100" s="19">
        <v>5</v>
      </c>
      <c r="J100" s="19"/>
      <c r="K100" s="19"/>
      <c r="L100">
        <v>1</v>
      </c>
    </row>
    <row r="101" spans="1:13" ht="66.75" thickBot="1" x14ac:dyDescent="0.3">
      <c r="A101" s="15">
        <v>100</v>
      </c>
      <c r="B101" s="16"/>
      <c r="C101" s="15" t="s">
        <v>107</v>
      </c>
      <c r="D101" s="17" t="s">
        <v>93</v>
      </c>
      <c r="E101" s="15">
        <v>200</v>
      </c>
      <c r="F101" s="18">
        <f t="shared" si="1"/>
        <v>31.847133757961782</v>
      </c>
      <c r="G101" s="15">
        <v>7</v>
      </c>
      <c r="H101" s="15">
        <v>10</v>
      </c>
      <c r="I101" s="19">
        <v>5</v>
      </c>
      <c r="J101" s="19" t="s">
        <v>111</v>
      </c>
      <c r="K101" s="19"/>
      <c r="L101">
        <v>1</v>
      </c>
    </row>
    <row r="102" spans="1:13" ht="66.75" thickBot="1" x14ac:dyDescent="0.3">
      <c r="A102" s="15">
        <v>101</v>
      </c>
      <c r="B102" s="16"/>
      <c r="C102" s="15" t="s">
        <v>107</v>
      </c>
      <c r="D102" s="17" t="s">
        <v>91</v>
      </c>
      <c r="E102" s="15">
        <v>95</v>
      </c>
      <c r="F102" s="18">
        <f t="shared" si="1"/>
        <v>15.127388535031846</v>
      </c>
      <c r="G102" s="15">
        <v>4</v>
      </c>
      <c r="H102" s="15">
        <v>7</v>
      </c>
      <c r="I102" s="19">
        <v>5</v>
      </c>
      <c r="J102" s="19"/>
      <c r="K102" s="19"/>
      <c r="L102">
        <v>1</v>
      </c>
    </row>
    <row r="103" spans="1:13" ht="66.75" thickBot="1" x14ac:dyDescent="0.3">
      <c r="A103" s="15">
        <v>102</v>
      </c>
      <c r="B103" s="16"/>
      <c r="C103" s="15" t="s">
        <v>107</v>
      </c>
      <c r="D103" s="17" t="s">
        <v>103</v>
      </c>
      <c r="E103" s="15">
        <v>120</v>
      </c>
      <c r="F103" s="18">
        <f t="shared" si="1"/>
        <v>19.108280254777068</v>
      </c>
      <c r="G103" s="15">
        <v>1</v>
      </c>
      <c r="H103" s="15">
        <v>2</v>
      </c>
      <c r="I103" s="19" t="s">
        <v>112</v>
      </c>
      <c r="J103" s="19" t="s">
        <v>97</v>
      </c>
      <c r="K103" s="19"/>
      <c r="L103">
        <v>1</v>
      </c>
    </row>
    <row r="104" spans="1:13" ht="66.75" thickBot="1" x14ac:dyDescent="0.3">
      <c r="A104" s="15">
        <v>103</v>
      </c>
      <c r="B104" s="16"/>
      <c r="C104" s="15" t="s">
        <v>107</v>
      </c>
      <c r="D104" s="17" t="s">
        <v>103</v>
      </c>
      <c r="E104" s="15">
        <v>70</v>
      </c>
      <c r="F104" s="18">
        <f t="shared" si="1"/>
        <v>11.146496815286623</v>
      </c>
      <c r="G104" s="15">
        <v>1.5</v>
      </c>
      <c r="H104" s="15">
        <v>3.5</v>
      </c>
      <c r="I104" s="19">
        <v>5</v>
      </c>
      <c r="J104" s="19"/>
      <c r="K104" s="19"/>
      <c r="L104">
        <v>1</v>
      </c>
    </row>
    <row r="105" spans="1:13" ht="66.75" thickBot="1" x14ac:dyDescent="0.3">
      <c r="A105" s="15">
        <v>104</v>
      </c>
      <c r="B105" s="16"/>
      <c r="C105" s="15" t="s">
        <v>107</v>
      </c>
      <c r="D105" s="17" t="s">
        <v>91</v>
      </c>
      <c r="E105" s="15">
        <v>100</v>
      </c>
      <c r="F105" s="18">
        <f t="shared" si="1"/>
        <v>15.923566878980891</v>
      </c>
      <c r="G105" s="15">
        <v>1.5</v>
      </c>
      <c r="H105" s="15">
        <v>3.5</v>
      </c>
      <c r="I105" s="19" t="s">
        <v>112</v>
      </c>
      <c r="J105" s="19" t="s">
        <v>97</v>
      </c>
      <c r="K105" s="19"/>
      <c r="L105">
        <v>1</v>
      </c>
    </row>
    <row r="106" spans="1:13" ht="66.75" thickBot="1" x14ac:dyDescent="0.3">
      <c r="A106" s="15">
        <v>105</v>
      </c>
      <c r="B106" s="16"/>
      <c r="C106" s="15" t="s">
        <v>107</v>
      </c>
      <c r="D106" s="17" t="s">
        <v>93</v>
      </c>
      <c r="E106" s="15">
        <v>200</v>
      </c>
      <c r="F106" s="18">
        <f t="shared" si="1"/>
        <v>31.847133757961782</v>
      </c>
      <c r="G106" s="15">
        <v>4</v>
      </c>
      <c r="H106" s="15">
        <v>9</v>
      </c>
      <c r="I106" s="19">
        <v>4</v>
      </c>
      <c r="J106" s="19" t="s">
        <v>104</v>
      </c>
      <c r="K106" s="19"/>
      <c r="L106">
        <v>1</v>
      </c>
    </row>
    <row r="107" spans="1:13" ht="66.75" thickBot="1" x14ac:dyDescent="0.3">
      <c r="A107" s="15">
        <v>106</v>
      </c>
      <c r="B107" s="16"/>
      <c r="C107" s="15" t="s">
        <v>107</v>
      </c>
      <c r="D107" s="17" t="s">
        <v>93</v>
      </c>
      <c r="E107" s="15">
        <v>210</v>
      </c>
      <c r="F107" s="18">
        <f t="shared" si="1"/>
        <v>33.439490445859875</v>
      </c>
      <c r="G107" s="15">
        <v>5</v>
      </c>
      <c r="H107" s="15">
        <v>10</v>
      </c>
      <c r="I107" s="19">
        <v>5</v>
      </c>
      <c r="J107" s="19"/>
      <c r="K107" s="19"/>
      <c r="L107">
        <v>1</v>
      </c>
    </row>
    <row r="108" spans="1:13" ht="66.75" thickBot="1" x14ac:dyDescent="0.3">
      <c r="A108" s="43">
        <v>107</v>
      </c>
      <c r="B108" s="43"/>
      <c r="C108" s="43" t="s">
        <v>107</v>
      </c>
      <c r="D108" s="44" t="s">
        <v>92</v>
      </c>
      <c r="E108" s="43">
        <v>110</v>
      </c>
      <c r="F108" s="48">
        <f t="shared" si="1"/>
        <v>17.515923566878982</v>
      </c>
      <c r="G108" s="43">
        <v>2.5</v>
      </c>
      <c r="H108" s="43">
        <v>3</v>
      </c>
      <c r="I108" s="46" t="s">
        <v>112</v>
      </c>
      <c r="J108" s="46" t="s">
        <v>97</v>
      </c>
      <c r="K108" s="46" t="s">
        <v>95</v>
      </c>
      <c r="L108" s="47">
        <v>1</v>
      </c>
      <c r="M108" s="47" t="s">
        <v>187</v>
      </c>
    </row>
    <row r="109" spans="1:13" ht="66.75" thickBot="1" x14ac:dyDescent="0.3">
      <c r="A109" s="43">
        <v>108</v>
      </c>
      <c r="B109" s="43"/>
      <c r="C109" s="43" t="s">
        <v>107</v>
      </c>
      <c r="D109" s="44" t="s">
        <v>92</v>
      </c>
      <c r="E109" s="43">
        <v>90</v>
      </c>
      <c r="F109" s="48">
        <f t="shared" si="1"/>
        <v>14.331210191082802</v>
      </c>
      <c r="G109" s="43">
        <v>1.5</v>
      </c>
      <c r="H109" s="43">
        <v>3</v>
      </c>
      <c r="I109" s="46" t="s">
        <v>112</v>
      </c>
      <c r="J109" s="46" t="s">
        <v>97</v>
      </c>
      <c r="K109" s="46" t="s">
        <v>95</v>
      </c>
      <c r="L109" s="47">
        <v>1</v>
      </c>
      <c r="M109" s="47" t="s">
        <v>187</v>
      </c>
    </row>
    <row r="110" spans="1:13" ht="66.75" thickBot="1" x14ac:dyDescent="0.3">
      <c r="A110" s="43">
        <v>109</v>
      </c>
      <c r="B110" s="43"/>
      <c r="C110" s="43" t="s">
        <v>107</v>
      </c>
      <c r="D110" s="44" t="s">
        <v>91</v>
      </c>
      <c r="E110" s="43">
        <v>100</v>
      </c>
      <c r="F110" s="48">
        <f t="shared" si="1"/>
        <v>15.923566878980891</v>
      </c>
      <c r="G110" s="43">
        <v>1.5</v>
      </c>
      <c r="H110" s="43">
        <v>3</v>
      </c>
      <c r="I110" s="46" t="s">
        <v>112</v>
      </c>
      <c r="J110" s="46" t="s">
        <v>97</v>
      </c>
      <c r="K110" s="46" t="s">
        <v>95</v>
      </c>
      <c r="L110" s="47">
        <v>1</v>
      </c>
      <c r="M110" s="47" t="s">
        <v>187</v>
      </c>
    </row>
    <row r="111" spans="1:13" ht="66.75" thickBot="1" x14ac:dyDescent="0.3">
      <c r="A111" s="43">
        <v>110</v>
      </c>
      <c r="B111" s="43"/>
      <c r="C111" s="43" t="s">
        <v>107</v>
      </c>
      <c r="D111" s="44" t="s">
        <v>92</v>
      </c>
      <c r="E111" s="43">
        <v>100</v>
      </c>
      <c r="F111" s="48">
        <f t="shared" si="1"/>
        <v>15.923566878980891</v>
      </c>
      <c r="G111" s="43">
        <v>1.5</v>
      </c>
      <c r="H111" s="43">
        <v>3</v>
      </c>
      <c r="I111" s="46" t="s">
        <v>112</v>
      </c>
      <c r="J111" s="46" t="s">
        <v>97</v>
      </c>
      <c r="K111" s="46" t="s">
        <v>95</v>
      </c>
      <c r="L111" s="47">
        <v>1</v>
      </c>
      <c r="M111" s="47" t="s">
        <v>187</v>
      </c>
    </row>
    <row r="112" spans="1:13" ht="66.75" thickBot="1" x14ac:dyDescent="0.3">
      <c r="A112" s="43">
        <v>111</v>
      </c>
      <c r="B112" s="43"/>
      <c r="C112" s="43" t="s">
        <v>107</v>
      </c>
      <c r="D112" s="44" t="s">
        <v>91</v>
      </c>
      <c r="E112" s="43">
        <v>125</v>
      </c>
      <c r="F112" s="48">
        <f t="shared" si="1"/>
        <v>19.904458598726112</v>
      </c>
      <c r="G112" s="43">
        <v>2.5</v>
      </c>
      <c r="H112" s="43">
        <v>4.5</v>
      </c>
      <c r="I112" s="46" t="s">
        <v>112</v>
      </c>
      <c r="J112" s="46" t="s">
        <v>113</v>
      </c>
      <c r="K112" s="46" t="s">
        <v>95</v>
      </c>
      <c r="L112" s="47">
        <v>1</v>
      </c>
      <c r="M112" s="47" t="s">
        <v>187</v>
      </c>
    </row>
    <row r="113" spans="1:13" ht="66.75" thickBot="1" x14ac:dyDescent="0.3">
      <c r="A113" s="15">
        <v>112</v>
      </c>
      <c r="B113" s="16"/>
      <c r="C113" s="15" t="s">
        <v>107</v>
      </c>
      <c r="D113" s="17" t="s">
        <v>91</v>
      </c>
      <c r="E113" s="15">
        <v>120</v>
      </c>
      <c r="F113" s="18">
        <f t="shared" si="1"/>
        <v>19.108280254777068</v>
      </c>
      <c r="G113" s="15">
        <v>1.5</v>
      </c>
      <c r="H113" s="15">
        <v>5</v>
      </c>
      <c r="I113" s="19" t="s">
        <v>112</v>
      </c>
      <c r="J113" s="19" t="s">
        <v>97</v>
      </c>
      <c r="K113" s="19"/>
      <c r="L113">
        <v>1</v>
      </c>
    </row>
    <row r="114" spans="1:13" ht="66.75" thickBot="1" x14ac:dyDescent="0.3">
      <c r="A114" s="15">
        <v>113</v>
      </c>
      <c r="B114" s="16"/>
      <c r="C114" s="15" t="s">
        <v>107</v>
      </c>
      <c r="D114" s="17" t="s">
        <v>92</v>
      </c>
      <c r="E114" s="15">
        <v>100</v>
      </c>
      <c r="F114" s="18">
        <f t="shared" si="1"/>
        <v>15.923566878980891</v>
      </c>
      <c r="G114" s="15">
        <v>1.5</v>
      </c>
      <c r="H114" s="15">
        <v>2</v>
      </c>
      <c r="I114" s="19" t="s">
        <v>112</v>
      </c>
      <c r="J114" s="19" t="s">
        <v>97</v>
      </c>
      <c r="K114" s="19"/>
      <c r="L114">
        <v>1</v>
      </c>
    </row>
    <row r="115" spans="1:13" ht="66.75" thickBot="1" x14ac:dyDescent="0.3">
      <c r="A115" s="43">
        <v>114</v>
      </c>
      <c r="B115" s="43"/>
      <c r="C115" s="43" t="s">
        <v>107</v>
      </c>
      <c r="D115" s="44" t="s">
        <v>92</v>
      </c>
      <c r="E115" s="43">
        <v>100</v>
      </c>
      <c r="F115" s="48">
        <f t="shared" si="1"/>
        <v>15.923566878980891</v>
      </c>
      <c r="G115" s="43">
        <v>1.5</v>
      </c>
      <c r="H115" s="43">
        <v>2</v>
      </c>
      <c r="I115" s="46" t="s">
        <v>112</v>
      </c>
      <c r="J115" s="46" t="s">
        <v>97</v>
      </c>
      <c r="K115" s="46" t="s">
        <v>95</v>
      </c>
      <c r="L115" s="47">
        <v>1</v>
      </c>
      <c r="M115" s="47" t="s">
        <v>187</v>
      </c>
    </row>
    <row r="116" spans="1:13" ht="66.75" thickBot="1" x14ac:dyDescent="0.3">
      <c r="A116" s="43">
        <v>115</v>
      </c>
      <c r="B116" s="43"/>
      <c r="C116" s="43" t="s">
        <v>107</v>
      </c>
      <c r="D116" s="44" t="s">
        <v>92</v>
      </c>
      <c r="E116" s="43">
        <v>80</v>
      </c>
      <c r="F116" s="48">
        <f t="shared" si="1"/>
        <v>12.738853503184712</v>
      </c>
      <c r="G116" s="43">
        <v>1.5</v>
      </c>
      <c r="H116" s="43">
        <v>2</v>
      </c>
      <c r="I116" s="46" t="s">
        <v>112</v>
      </c>
      <c r="J116" s="46" t="s">
        <v>97</v>
      </c>
      <c r="K116" s="46" t="s">
        <v>95</v>
      </c>
      <c r="L116" s="47">
        <v>1</v>
      </c>
      <c r="M116" s="47" t="s">
        <v>187</v>
      </c>
    </row>
    <row r="117" spans="1:13" ht="66.75" thickBot="1" x14ac:dyDescent="0.3">
      <c r="A117" s="43">
        <v>116</v>
      </c>
      <c r="B117" s="43"/>
      <c r="C117" s="43" t="s">
        <v>107</v>
      </c>
      <c r="D117" s="44" t="s">
        <v>92</v>
      </c>
      <c r="E117" s="43">
        <v>80</v>
      </c>
      <c r="F117" s="48">
        <f t="shared" si="1"/>
        <v>12.738853503184712</v>
      </c>
      <c r="G117" s="43">
        <v>1.5</v>
      </c>
      <c r="H117" s="43">
        <v>2</v>
      </c>
      <c r="I117" s="46" t="s">
        <v>112</v>
      </c>
      <c r="J117" s="46" t="s">
        <v>97</v>
      </c>
      <c r="K117" s="46" t="s">
        <v>95</v>
      </c>
      <c r="L117" s="47">
        <v>1</v>
      </c>
      <c r="M117" s="47" t="s">
        <v>187</v>
      </c>
    </row>
    <row r="118" spans="1:13" ht="66.75" thickBot="1" x14ac:dyDescent="0.3">
      <c r="A118" s="43">
        <v>117</v>
      </c>
      <c r="B118" s="43"/>
      <c r="C118" s="43" t="s">
        <v>107</v>
      </c>
      <c r="D118" s="44" t="s">
        <v>92</v>
      </c>
      <c r="E118" s="43">
        <v>80</v>
      </c>
      <c r="F118" s="48">
        <f t="shared" si="1"/>
        <v>12.738853503184712</v>
      </c>
      <c r="G118" s="43">
        <v>1.5</v>
      </c>
      <c r="H118" s="43">
        <v>2</v>
      </c>
      <c r="I118" s="46" t="s">
        <v>112</v>
      </c>
      <c r="J118" s="46" t="s">
        <v>97</v>
      </c>
      <c r="K118" s="46" t="s">
        <v>95</v>
      </c>
      <c r="L118" s="47">
        <v>1</v>
      </c>
      <c r="M118" s="47" t="s">
        <v>187</v>
      </c>
    </row>
    <row r="119" spans="1:13" ht="66.75" thickBot="1" x14ac:dyDescent="0.3">
      <c r="A119" s="43">
        <v>118</v>
      </c>
      <c r="B119" s="43"/>
      <c r="C119" s="43" t="s">
        <v>107</v>
      </c>
      <c r="D119" s="44" t="s">
        <v>92</v>
      </c>
      <c r="E119" s="43">
        <v>70</v>
      </c>
      <c r="F119" s="48">
        <f t="shared" si="1"/>
        <v>11.146496815286623</v>
      </c>
      <c r="G119" s="43">
        <v>1.5</v>
      </c>
      <c r="H119" s="43">
        <v>2</v>
      </c>
      <c r="I119" s="46" t="s">
        <v>112</v>
      </c>
      <c r="J119" s="46" t="s">
        <v>97</v>
      </c>
      <c r="K119" s="46" t="s">
        <v>95</v>
      </c>
      <c r="L119" s="47">
        <v>1</v>
      </c>
      <c r="M119" s="47" t="s">
        <v>187</v>
      </c>
    </row>
    <row r="120" spans="1:13" ht="66.75" thickBot="1" x14ac:dyDescent="0.3">
      <c r="A120" s="43">
        <v>119</v>
      </c>
      <c r="B120" s="43"/>
      <c r="C120" s="43" t="s">
        <v>107</v>
      </c>
      <c r="D120" s="44" t="s">
        <v>91</v>
      </c>
      <c r="E120" s="43">
        <v>140</v>
      </c>
      <c r="F120" s="48">
        <f t="shared" si="1"/>
        <v>22.292993630573246</v>
      </c>
      <c r="G120" s="43">
        <v>2</v>
      </c>
      <c r="H120" s="43">
        <v>1.5</v>
      </c>
      <c r="I120" s="46" t="s">
        <v>112</v>
      </c>
      <c r="J120" s="46" t="s">
        <v>97</v>
      </c>
      <c r="K120" s="46" t="s">
        <v>95</v>
      </c>
      <c r="L120" s="47">
        <v>1</v>
      </c>
      <c r="M120" s="47" t="s">
        <v>187</v>
      </c>
    </row>
    <row r="121" spans="1:13" ht="66.75" thickBot="1" x14ac:dyDescent="0.3">
      <c r="A121" s="43">
        <v>120</v>
      </c>
      <c r="B121" s="43"/>
      <c r="C121" s="43" t="s">
        <v>88</v>
      </c>
      <c r="D121" s="44" t="s">
        <v>93</v>
      </c>
      <c r="E121" s="43">
        <v>150</v>
      </c>
      <c r="F121" s="45">
        <f t="shared" si="1"/>
        <v>23.885350318471335</v>
      </c>
      <c r="G121" s="43">
        <v>2</v>
      </c>
      <c r="H121" s="43">
        <v>6</v>
      </c>
      <c r="I121" s="46">
        <v>2</v>
      </c>
      <c r="J121" s="46" t="s">
        <v>110</v>
      </c>
      <c r="K121" s="46" t="s">
        <v>95</v>
      </c>
      <c r="L121" s="47">
        <v>1</v>
      </c>
      <c r="M121" s="47" t="s">
        <v>187</v>
      </c>
    </row>
    <row r="122" spans="1:13" ht="66.75" thickBot="1" x14ac:dyDescent="0.3">
      <c r="A122" s="43">
        <v>121</v>
      </c>
      <c r="B122" s="43"/>
      <c r="C122" s="43" t="s">
        <v>88</v>
      </c>
      <c r="D122" s="44" t="s">
        <v>91</v>
      </c>
      <c r="E122" s="43">
        <v>150</v>
      </c>
      <c r="F122" s="45">
        <f t="shared" si="1"/>
        <v>23.885350318471335</v>
      </c>
      <c r="G122" s="43">
        <v>7</v>
      </c>
      <c r="H122" s="43">
        <v>8</v>
      </c>
      <c r="I122" s="46">
        <v>5</v>
      </c>
      <c r="J122" s="46"/>
      <c r="K122" s="46" t="s">
        <v>95</v>
      </c>
      <c r="L122" s="47">
        <v>1</v>
      </c>
      <c r="M122" s="47" t="s">
        <v>187</v>
      </c>
    </row>
    <row r="123" spans="1:13" ht="66.75" thickBot="1" x14ac:dyDescent="0.3">
      <c r="A123" s="43">
        <v>122</v>
      </c>
      <c r="B123" s="43"/>
      <c r="C123" s="43" t="s">
        <v>88</v>
      </c>
      <c r="D123" s="44" t="s">
        <v>91</v>
      </c>
      <c r="E123" s="43">
        <v>150</v>
      </c>
      <c r="F123" s="45">
        <f t="shared" si="1"/>
        <v>23.885350318471335</v>
      </c>
      <c r="G123" s="43">
        <v>7</v>
      </c>
      <c r="H123" s="43">
        <v>8</v>
      </c>
      <c r="I123" s="46">
        <v>5</v>
      </c>
      <c r="J123" s="46"/>
      <c r="K123" s="46" t="s">
        <v>95</v>
      </c>
      <c r="L123" s="47">
        <v>1</v>
      </c>
      <c r="M123" s="47" t="s">
        <v>187</v>
      </c>
    </row>
    <row r="124" spans="1:13" ht="66.75" thickBot="1" x14ac:dyDescent="0.3">
      <c r="A124" s="43">
        <v>123</v>
      </c>
      <c r="B124" s="43"/>
      <c r="C124" s="43" t="s">
        <v>88</v>
      </c>
      <c r="D124" s="44" t="s">
        <v>93</v>
      </c>
      <c r="E124" s="43">
        <v>380</v>
      </c>
      <c r="F124" s="49">
        <f t="shared" si="1"/>
        <v>60.509554140127385</v>
      </c>
      <c r="G124" s="43">
        <v>6</v>
      </c>
      <c r="H124" s="43">
        <v>10</v>
      </c>
      <c r="I124" s="46">
        <v>5</v>
      </c>
      <c r="J124" s="46"/>
      <c r="K124" s="46" t="s">
        <v>95</v>
      </c>
      <c r="L124" s="47">
        <v>1</v>
      </c>
      <c r="M124" s="47" t="s">
        <v>187</v>
      </c>
    </row>
    <row r="125" spans="1:13" ht="66.75" thickBot="1" x14ac:dyDescent="0.3">
      <c r="A125" s="43">
        <v>124</v>
      </c>
      <c r="B125" s="43"/>
      <c r="C125" s="43" t="s">
        <v>88</v>
      </c>
      <c r="D125" s="44" t="s">
        <v>91</v>
      </c>
      <c r="E125" s="43">
        <v>105</v>
      </c>
      <c r="F125" s="45">
        <f t="shared" si="1"/>
        <v>16.719745222929937</v>
      </c>
      <c r="G125" s="43">
        <v>5</v>
      </c>
      <c r="H125" s="43">
        <v>7</v>
      </c>
      <c r="I125" s="46">
        <v>5</v>
      </c>
      <c r="J125" s="46"/>
      <c r="K125" s="46" t="s">
        <v>95</v>
      </c>
      <c r="L125" s="47">
        <v>1</v>
      </c>
      <c r="M125" s="47" t="s">
        <v>187</v>
      </c>
    </row>
    <row r="126" spans="1:13" ht="66.75" thickBot="1" x14ac:dyDescent="0.3">
      <c r="A126" s="43">
        <v>125</v>
      </c>
      <c r="B126" s="43"/>
      <c r="C126" s="43" t="s">
        <v>88</v>
      </c>
      <c r="D126" s="44" t="s">
        <v>93</v>
      </c>
      <c r="E126" s="43">
        <v>230</v>
      </c>
      <c r="F126" s="50">
        <f t="shared" si="1"/>
        <v>36.624203821656053</v>
      </c>
      <c r="G126" s="43">
        <v>3</v>
      </c>
      <c r="H126" s="43">
        <v>12</v>
      </c>
      <c r="I126" s="46">
        <v>4</v>
      </c>
      <c r="J126" s="46"/>
      <c r="K126" s="46" t="s">
        <v>95</v>
      </c>
      <c r="L126" s="47">
        <v>1</v>
      </c>
      <c r="M126" s="47" t="s">
        <v>187</v>
      </c>
    </row>
    <row r="127" spans="1:13" ht="66.75" thickBot="1" x14ac:dyDescent="0.3">
      <c r="A127" s="43">
        <v>126</v>
      </c>
      <c r="B127" s="43"/>
      <c r="C127" s="43" t="s">
        <v>88</v>
      </c>
      <c r="D127" s="44" t="s">
        <v>91</v>
      </c>
      <c r="E127" s="43">
        <v>85</v>
      </c>
      <c r="F127" s="45">
        <f t="shared" si="1"/>
        <v>13.535031847133757</v>
      </c>
      <c r="G127" s="43">
        <v>7</v>
      </c>
      <c r="H127" s="43">
        <v>6</v>
      </c>
      <c r="I127" s="46">
        <v>5</v>
      </c>
      <c r="J127" s="46" t="s">
        <v>100</v>
      </c>
      <c r="K127" s="46" t="s">
        <v>95</v>
      </c>
      <c r="L127" s="47">
        <v>1</v>
      </c>
      <c r="M127" s="47" t="s">
        <v>187</v>
      </c>
    </row>
    <row r="128" spans="1:13" ht="66.75" thickBot="1" x14ac:dyDescent="0.3">
      <c r="A128" s="43">
        <v>127</v>
      </c>
      <c r="B128" s="43"/>
      <c r="C128" s="43" t="s">
        <v>88</v>
      </c>
      <c r="D128" s="44" t="s">
        <v>93</v>
      </c>
      <c r="E128" s="43">
        <v>40</v>
      </c>
      <c r="F128" s="45">
        <f t="shared" si="1"/>
        <v>6.3694267515923562</v>
      </c>
      <c r="G128" s="43">
        <v>4</v>
      </c>
      <c r="H128" s="43">
        <v>5</v>
      </c>
      <c r="I128" s="46">
        <v>5</v>
      </c>
      <c r="J128" s="46"/>
      <c r="K128" s="46" t="s">
        <v>95</v>
      </c>
      <c r="L128" s="47">
        <v>1</v>
      </c>
      <c r="M128" s="47" t="s">
        <v>187</v>
      </c>
    </row>
    <row r="129" spans="1:16" ht="66.75" thickBot="1" x14ac:dyDescent="0.3">
      <c r="A129" s="43">
        <v>128</v>
      </c>
      <c r="B129" s="43"/>
      <c r="C129" s="43" t="s">
        <v>88</v>
      </c>
      <c r="D129" s="44" t="s">
        <v>93</v>
      </c>
      <c r="E129" s="43">
        <v>300</v>
      </c>
      <c r="F129" s="50">
        <f t="shared" si="1"/>
        <v>47.770700636942671</v>
      </c>
      <c r="G129" s="43">
        <v>6</v>
      </c>
      <c r="H129" s="43">
        <v>10</v>
      </c>
      <c r="I129" s="46">
        <v>5</v>
      </c>
      <c r="J129" s="46"/>
      <c r="K129" s="46" t="s">
        <v>95</v>
      </c>
      <c r="L129" s="47">
        <v>1</v>
      </c>
      <c r="M129" s="47" t="s">
        <v>187</v>
      </c>
    </row>
    <row r="130" spans="1:16" ht="66.75" thickBot="1" x14ac:dyDescent="0.3">
      <c r="A130" s="43">
        <v>129</v>
      </c>
      <c r="B130" s="43"/>
      <c r="C130" s="43" t="s">
        <v>88</v>
      </c>
      <c r="D130" s="44" t="s">
        <v>93</v>
      </c>
      <c r="E130" s="43">
        <v>280</v>
      </c>
      <c r="F130" s="50">
        <f t="shared" si="1"/>
        <v>44.585987261146492</v>
      </c>
      <c r="G130" s="43">
        <v>6</v>
      </c>
      <c r="H130" s="43">
        <v>10</v>
      </c>
      <c r="I130" s="46">
        <v>5</v>
      </c>
      <c r="J130" s="46"/>
      <c r="K130" s="46" t="s">
        <v>95</v>
      </c>
      <c r="L130" s="47">
        <v>1</v>
      </c>
      <c r="M130" s="47" t="s">
        <v>187</v>
      </c>
    </row>
    <row r="131" spans="1:16" ht="66.75" thickBot="1" x14ac:dyDescent="0.3">
      <c r="A131" s="43">
        <v>130</v>
      </c>
      <c r="B131" s="43"/>
      <c r="C131" s="43" t="s">
        <v>88</v>
      </c>
      <c r="D131" s="44" t="s">
        <v>93</v>
      </c>
      <c r="E131" s="43">
        <v>360</v>
      </c>
      <c r="F131" s="49">
        <f t="shared" ref="F131:F135" si="2">E131/(2*3.14)</f>
        <v>57.324840764331206</v>
      </c>
      <c r="G131" s="43">
        <v>5</v>
      </c>
      <c r="H131" s="43">
        <v>9</v>
      </c>
      <c r="I131" s="46">
        <v>4</v>
      </c>
      <c r="J131" s="46" t="s">
        <v>114</v>
      </c>
      <c r="K131" s="46" t="s">
        <v>95</v>
      </c>
      <c r="L131" s="47">
        <v>1</v>
      </c>
      <c r="M131" s="47" t="s">
        <v>187</v>
      </c>
    </row>
    <row r="132" spans="1:16" ht="66.75" thickBot="1" x14ac:dyDescent="0.3">
      <c r="A132" s="43">
        <v>131</v>
      </c>
      <c r="B132" s="43"/>
      <c r="C132" s="43" t="s">
        <v>88</v>
      </c>
      <c r="D132" s="44" t="s">
        <v>93</v>
      </c>
      <c r="E132" s="43">
        <v>290</v>
      </c>
      <c r="F132" s="50">
        <f t="shared" si="2"/>
        <v>46.178343949044582</v>
      </c>
      <c r="G132" s="43">
        <v>8</v>
      </c>
      <c r="H132" s="43">
        <v>10</v>
      </c>
      <c r="I132" s="46">
        <v>5</v>
      </c>
      <c r="J132" s="46" t="s">
        <v>115</v>
      </c>
      <c r="K132" s="46" t="s">
        <v>95</v>
      </c>
      <c r="L132" s="47">
        <v>1</v>
      </c>
      <c r="M132" s="47" t="s">
        <v>187</v>
      </c>
    </row>
    <row r="133" spans="1:16" ht="66.75" thickBot="1" x14ac:dyDescent="0.3">
      <c r="A133" s="43">
        <v>132</v>
      </c>
      <c r="B133" s="43"/>
      <c r="C133" s="43" t="s">
        <v>88</v>
      </c>
      <c r="D133" s="44" t="s">
        <v>93</v>
      </c>
      <c r="E133" s="43">
        <v>220</v>
      </c>
      <c r="F133" s="50">
        <f t="shared" si="2"/>
        <v>35.031847133757964</v>
      </c>
      <c r="G133" s="43">
        <v>3</v>
      </c>
      <c r="H133" s="43">
        <v>7</v>
      </c>
      <c r="I133" s="46">
        <v>4</v>
      </c>
      <c r="J133" s="46" t="s">
        <v>115</v>
      </c>
      <c r="K133" s="46" t="s">
        <v>95</v>
      </c>
      <c r="L133" s="47">
        <v>1</v>
      </c>
      <c r="M133" s="47" t="s">
        <v>187</v>
      </c>
    </row>
    <row r="134" spans="1:16" ht="66.75" thickBot="1" x14ac:dyDescent="0.3">
      <c r="A134" s="43">
        <v>133</v>
      </c>
      <c r="B134" s="43"/>
      <c r="C134" s="43" t="s">
        <v>88</v>
      </c>
      <c r="D134" s="44" t="s">
        <v>93</v>
      </c>
      <c r="E134" s="43">
        <v>300</v>
      </c>
      <c r="F134" s="50">
        <f t="shared" si="2"/>
        <v>47.770700636942671</v>
      </c>
      <c r="G134" s="43">
        <v>6</v>
      </c>
      <c r="H134" s="43">
        <v>10</v>
      </c>
      <c r="I134" s="46">
        <v>5</v>
      </c>
      <c r="J134" s="46" t="s">
        <v>115</v>
      </c>
      <c r="K134" s="46" t="s">
        <v>95</v>
      </c>
      <c r="L134" s="47">
        <v>1</v>
      </c>
      <c r="M134" s="47" t="s">
        <v>187</v>
      </c>
    </row>
    <row r="135" spans="1:16" ht="66.75" thickBot="1" x14ac:dyDescent="0.3">
      <c r="A135" s="43">
        <v>134</v>
      </c>
      <c r="B135" s="43"/>
      <c r="C135" s="43" t="s">
        <v>88</v>
      </c>
      <c r="D135" s="44" t="s">
        <v>93</v>
      </c>
      <c r="E135" s="43">
        <v>300</v>
      </c>
      <c r="F135" s="50">
        <f t="shared" si="2"/>
        <v>47.770700636942671</v>
      </c>
      <c r="G135" s="43">
        <v>6</v>
      </c>
      <c r="H135" s="43">
        <v>10</v>
      </c>
      <c r="I135" s="46">
        <v>5</v>
      </c>
      <c r="J135" s="46" t="s">
        <v>115</v>
      </c>
      <c r="K135" s="46" t="s">
        <v>95</v>
      </c>
      <c r="L135" s="47">
        <v>1</v>
      </c>
      <c r="M135" s="47" t="s">
        <v>187</v>
      </c>
    </row>
    <row r="136" spans="1:16" ht="50.25" thickBot="1" x14ac:dyDescent="0.3">
      <c r="A136" s="15">
        <v>135</v>
      </c>
      <c r="B136" s="16"/>
      <c r="C136" s="15" t="s">
        <v>88</v>
      </c>
      <c r="D136" s="17" t="s">
        <v>90</v>
      </c>
      <c r="E136" s="15">
        <v>60</v>
      </c>
      <c r="F136" s="18">
        <f t="shared" ref="F136:F183" si="3">E136/(2*3.14)</f>
        <v>9.5541401273885338</v>
      </c>
      <c r="G136" s="15">
        <v>5</v>
      </c>
      <c r="H136" s="15">
        <v>6</v>
      </c>
      <c r="I136" s="19">
        <v>5</v>
      </c>
      <c r="J136" s="19" t="s">
        <v>116</v>
      </c>
      <c r="K136" s="19"/>
      <c r="L136">
        <v>1</v>
      </c>
    </row>
    <row r="137" spans="1:16" ht="66.75" thickBot="1" x14ac:dyDescent="0.3">
      <c r="A137" s="43">
        <v>136</v>
      </c>
      <c r="B137" s="43"/>
      <c r="C137" s="43" t="s">
        <v>88</v>
      </c>
      <c r="D137" s="44" t="s">
        <v>93</v>
      </c>
      <c r="E137" s="43">
        <v>8</v>
      </c>
      <c r="F137" s="45">
        <f t="shared" si="3"/>
        <v>1.2738853503184713</v>
      </c>
      <c r="G137" s="43">
        <v>3</v>
      </c>
      <c r="H137" s="43">
        <v>5</v>
      </c>
      <c r="I137" s="46">
        <v>5</v>
      </c>
      <c r="J137" s="46"/>
      <c r="K137" s="46" t="s">
        <v>95</v>
      </c>
      <c r="L137" s="47">
        <v>1</v>
      </c>
      <c r="M137" s="47" t="s">
        <v>187</v>
      </c>
      <c r="P137">
        <f>L137+L135+L134+L133+L132+L131+L130+L129+L128+L127+L126+L125+L124+L123+L122+L121+L120+L119+L118+L117+L116+L115+L112+L111+L110+L109+L108+L98+L97+L96+L95+L94+L93+L92+L91+L90+L89+L86+L85+L84+L83+L82</f>
        <v>42</v>
      </c>
    </row>
    <row r="138" spans="1:16" ht="66.75" thickBot="1" x14ac:dyDescent="0.3">
      <c r="A138" s="15">
        <v>137</v>
      </c>
      <c r="B138" s="16"/>
      <c r="C138" s="15" t="s">
        <v>88</v>
      </c>
      <c r="D138" s="17" t="s">
        <v>91</v>
      </c>
      <c r="E138" s="15">
        <v>150</v>
      </c>
      <c r="F138" s="18">
        <f t="shared" si="3"/>
        <v>23.885350318471335</v>
      </c>
      <c r="G138" s="15">
        <v>7</v>
      </c>
      <c r="H138" s="15">
        <v>7</v>
      </c>
      <c r="I138" s="19">
        <v>4</v>
      </c>
      <c r="J138" s="19"/>
      <c r="K138" s="19"/>
      <c r="L138">
        <v>1</v>
      </c>
    </row>
    <row r="139" spans="1:16" ht="66.75" thickBot="1" x14ac:dyDescent="0.3">
      <c r="A139" s="51">
        <v>138</v>
      </c>
      <c r="B139" s="51"/>
      <c r="C139" s="51" t="s">
        <v>88</v>
      </c>
      <c r="D139" s="52" t="s">
        <v>93</v>
      </c>
      <c r="E139" s="51">
        <v>230</v>
      </c>
      <c r="F139" s="53">
        <f t="shared" si="3"/>
        <v>36.624203821656053</v>
      </c>
      <c r="G139" s="51">
        <v>6</v>
      </c>
      <c r="H139" s="51">
        <v>10</v>
      </c>
      <c r="I139" s="54">
        <v>5</v>
      </c>
      <c r="J139" s="54"/>
      <c r="K139" s="54" t="s">
        <v>95</v>
      </c>
      <c r="L139" s="55">
        <v>1</v>
      </c>
      <c r="M139" s="55" t="s">
        <v>189</v>
      </c>
    </row>
    <row r="140" spans="1:16" ht="66.75" thickBot="1" x14ac:dyDescent="0.3">
      <c r="A140" s="51">
        <v>139</v>
      </c>
      <c r="B140" s="51"/>
      <c r="C140" s="51" t="s">
        <v>88</v>
      </c>
      <c r="D140" s="52" t="s">
        <v>93</v>
      </c>
      <c r="E140" s="51">
        <v>240</v>
      </c>
      <c r="F140" s="53">
        <f t="shared" si="3"/>
        <v>38.216560509554135</v>
      </c>
      <c r="G140" s="51">
        <v>7</v>
      </c>
      <c r="H140" s="51">
        <v>10</v>
      </c>
      <c r="I140" s="54">
        <v>5</v>
      </c>
      <c r="J140" s="54" t="s">
        <v>115</v>
      </c>
      <c r="K140" s="54" t="s">
        <v>95</v>
      </c>
      <c r="L140" s="55">
        <v>1</v>
      </c>
      <c r="M140" s="55" t="s">
        <v>189</v>
      </c>
    </row>
    <row r="141" spans="1:16" ht="66.75" thickBot="1" x14ac:dyDescent="0.3">
      <c r="A141" s="51">
        <v>140</v>
      </c>
      <c r="B141" s="51"/>
      <c r="C141" s="51" t="s">
        <v>88</v>
      </c>
      <c r="D141" s="52" t="s">
        <v>93</v>
      </c>
      <c r="E141" s="51">
        <v>270</v>
      </c>
      <c r="F141" s="53">
        <f t="shared" si="3"/>
        <v>42.993630573248403</v>
      </c>
      <c r="G141" s="51">
        <v>6</v>
      </c>
      <c r="H141" s="51">
        <v>10</v>
      </c>
      <c r="I141" s="54">
        <v>5</v>
      </c>
      <c r="J141" s="54" t="s">
        <v>115</v>
      </c>
      <c r="K141" s="54" t="s">
        <v>95</v>
      </c>
      <c r="L141" s="55">
        <v>1</v>
      </c>
      <c r="M141" s="55" t="s">
        <v>189</v>
      </c>
    </row>
    <row r="142" spans="1:16" ht="66.75" thickBot="1" x14ac:dyDescent="0.3">
      <c r="A142" s="51">
        <v>141</v>
      </c>
      <c r="B142" s="51"/>
      <c r="C142" s="51" t="s">
        <v>88</v>
      </c>
      <c r="D142" s="52" t="s">
        <v>93</v>
      </c>
      <c r="E142" s="51">
        <v>320</v>
      </c>
      <c r="F142" s="53">
        <f t="shared" si="3"/>
        <v>50.955414012738849</v>
      </c>
      <c r="G142" s="51">
        <v>5</v>
      </c>
      <c r="H142" s="51">
        <v>10</v>
      </c>
      <c r="I142" s="54">
        <v>3</v>
      </c>
      <c r="J142" s="54" t="s">
        <v>117</v>
      </c>
      <c r="K142" s="54" t="s">
        <v>95</v>
      </c>
      <c r="L142" s="55">
        <v>1</v>
      </c>
      <c r="M142" s="55" t="s">
        <v>189</v>
      </c>
    </row>
    <row r="143" spans="1:16" ht="66.75" thickBot="1" x14ac:dyDescent="0.3">
      <c r="A143" s="51">
        <v>142</v>
      </c>
      <c r="B143" s="51"/>
      <c r="C143" s="51" t="s">
        <v>88</v>
      </c>
      <c r="D143" s="52" t="s">
        <v>93</v>
      </c>
      <c r="E143" s="51">
        <v>180</v>
      </c>
      <c r="F143" s="56">
        <f t="shared" si="3"/>
        <v>28.662420382165603</v>
      </c>
      <c r="G143" s="51">
        <v>5</v>
      </c>
      <c r="H143" s="51">
        <v>10</v>
      </c>
      <c r="I143" s="54">
        <v>5</v>
      </c>
      <c r="J143" s="54" t="s">
        <v>115</v>
      </c>
      <c r="K143" s="54" t="s">
        <v>95</v>
      </c>
      <c r="L143" s="55">
        <v>1</v>
      </c>
      <c r="M143" s="55" t="s">
        <v>189</v>
      </c>
    </row>
    <row r="144" spans="1:16" ht="66.75" thickBot="1" x14ac:dyDescent="0.3">
      <c r="A144" s="51">
        <v>143</v>
      </c>
      <c r="B144" s="51"/>
      <c r="C144" s="51" t="s">
        <v>88</v>
      </c>
      <c r="D144" s="52" t="s">
        <v>93</v>
      </c>
      <c r="E144" s="51">
        <v>350</v>
      </c>
      <c r="F144" s="53">
        <f t="shared" si="3"/>
        <v>55.732484076433117</v>
      </c>
      <c r="G144" s="51">
        <v>5</v>
      </c>
      <c r="H144" s="51">
        <v>7</v>
      </c>
      <c r="I144" s="54">
        <v>3</v>
      </c>
      <c r="J144" s="54" t="s">
        <v>110</v>
      </c>
      <c r="K144" s="54" t="s">
        <v>95</v>
      </c>
      <c r="L144" s="55">
        <v>1</v>
      </c>
      <c r="M144" s="55" t="s">
        <v>189</v>
      </c>
    </row>
    <row r="145" spans="1:15" ht="66.75" thickBot="1" x14ac:dyDescent="0.3">
      <c r="A145" s="51">
        <v>144</v>
      </c>
      <c r="B145" s="51"/>
      <c r="C145" s="51" t="s">
        <v>88</v>
      </c>
      <c r="D145" s="52" t="s">
        <v>91</v>
      </c>
      <c r="E145" s="51">
        <v>90</v>
      </c>
      <c r="F145" s="56">
        <f t="shared" si="3"/>
        <v>14.331210191082802</v>
      </c>
      <c r="G145" s="51">
        <v>6</v>
      </c>
      <c r="H145" s="51">
        <v>8</v>
      </c>
      <c r="I145" s="54">
        <v>5</v>
      </c>
      <c r="J145" s="54"/>
      <c r="K145" s="54" t="s">
        <v>95</v>
      </c>
      <c r="L145" s="55">
        <v>1</v>
      </c>
      <c r="M145" s="55" t="s">
        <v>189</v>
      </c>
    </row>
    <row r="146" spans="1:15" ht="66.75" thickBot="1" x14ac:dyDescent="0.3">
      <c r="A146" s="51">
        <v>145</v>
      </c>
      <c r="B146" s="51"/>
      <c r="C146" s="51" t="s">
        <v>88</v>
      </c>
      <c r="D146" s="52" t="s">
        <v>93</v>
      </c>
      <c r="E146" s="51">
        <v>320</v>
      </c>
      <c r="F146" s="53">
        <f t="shared" si="3"/>
        <v>50.955414012738849</v>
      </c>
      <c r="G146" s="51">
        <v>5</v>
      </c>
      <c r="H146" s="51">
        <v>10</v>
      </c>
      <c r="I146" s="54">
        <v>4</v>
      </c>
      <c r="J146" s="54" t="s">
        <v>118</v>
      </c>
      <c r="K146" s="54" t="s">
        <v>95</v>
      </c>
      <c r="L146" s="55">
        <v>1</v>
      </c>
      <c r="M146" s="55" t="s">
        <v>189</v>
      </c>
    </row>
    <row r="147" spans="1:15" ht="66.75" thickBot="1" x14ac:dyDescent="0.3">
      <c r="A147" s="51">
        <v>146</v>
      </c>
      <c r="B147" s="51"/>
      <c r="C147" s="51" t="s">
        <v>88</v>
      </c>
      <c r="D147" s="52" t="s">
        <v>93</v>
      </c>
      <c r="E147" s="51">
        <v>280</v>
      </c>
      <c r="F147" s="53">
        <f t="shared" si="3"/>
        <v>44.585987261146492</v>
      </c>
      <c r="G147" s="51">
        <v>5</v>
      </c>
      <c r="H147" s="51">
        <v>10</v>
      </c>
      <c r="I147" s="54">
        <v>5</v>
      </c>
      <c r="J147" s="54" t="s">
        <v>115</v>
      </c>
      <c r="K147" s="54" t="s">
        <v>95</v>
      </c>
      <c r="L147" s="55">
        <v>1</v>
      </c>
      <c r="M147" s="55" t="s">
        <v>189</v>
      </c>
    </row>
    <row r="148" spans="1:15" ht="66.75" thickBot="1" x14ac:dyDescent="0.3">
      <c r="A148" s="51">
        <v>147</v>
      </c>
      <c r="B148" s="51"/>
      <c r="C148" s="51" t="s">
        <v>88</v>
      </c>
      <c r="D148" s="52" t="s">
        <v>93</v>
      </c>
      <c r="E148" s="51">
        <v>320</v>
      </c>
      <c r="F148" s="53">
        <f t="shared" si="3"/>
        <v>50.955414012738849</v>
      </c>
      <c r="G148" s="51">
        <v>7</v>
      </c>
      <c r="H148" s="51">
        <v>10</v>
      </c>
      <c r="I148" s="54">
        <v>5</v>
      </c>
      <c r="J148" s="54" t="s">
        <v>115</v>
      </c>
      <c r="K148" s="54" t="s">
        <v>95</v>
      </c>
      <c r="L148" s="55">
        <v>1</v>
      </c>
      <c r="M148" s="55" t="s">
        <v>189</v>
      </c>
    </row>
    <row r="149" spans="1:15" ht="66.75" thickBot="1" x14ac:dyDescent="0.3">
      <c r="A149" s="51">
        <v>148</v>
      </c>
      <c r="B149" s="51"/>
      <c r="C149" s="51" t="s">
        <v>88</v>
      </c>
      <c r="D149" s="52" t="s">
        <v>93</v>
      </c>
      <c r="E149" s="51">
        <v>300</v>
      </c>
      <c r="F149" s="53">
        <f t="shared" si="3"/>
        <v>47.770700636942671</v>
      </c>
      <c r="G149" s="51">
        <v>6</v>
      </c>
      <c r="H149" s="51">
        <v>10</v>
      </c>
      <c r="I149" s="54">
        <v>4</v>
      </c>
      <c r="J149" s="54"/>
      <c r="K149" s="54" t="s">
        <v>95</v>
      </c>
      <c r="L149" s="55">
        <v>1</v>
      </c>
      <c r="M149" s="55" t="s">
        <v>189</v>
      </c>
    </row>
    <row r="150" spans="1:15" ht="66.75" thickBot="1" x14ac:dyDescent="0.3">
      <c r="A150" s="51">
        <v>149</v>
      </c>
      <c r="B150" s="51"/>
      <c r="C150" s="51" t="s">
        <v>88</v>
      </c>
      <c r="D150" s="52" t="s">
        <v>93</v>
      </c>
      <c r="E150" s="51">
        <v>200</v>
      </c>
      <c r="F150" s="56">
        <f t="shared" si="3"/>
        <v>31.847133757961782</v>
      </c>
      <c r="G150" s="51">
        <v>6</v>
      </c>
      <c r="H150" s="51">
        <v>10</v>
      </c>
      <c r="I150" s="54">
        <v>5</v>
      </c>
      <c r="J150" s="54"/>
      <c r="K150" s="54" t="s">
        <v>95</v>
      </c>
      <c r="L150" s="55">
        <v>1</v>
      </c>
      <c r="M150" s="55" t="s">
        <v>189</v>
      </c>
    </row>
    <row r="151" spans="1:15" ht="66.75" thickBot="1" x14ac:dyDescent="0.3">
      <c r="A151" s="51">
        <v>150</v>
      </c>
      <c r="B151" s="51"/>
      <c r="C151" s="51" t="s">
        <v>88</v>
      </c>
      <c r="D151" s="52" t="s">
        <v>93</v>
      </c>
      <c r="E151" s="51">
        <v>320</v>
      </c>
      <c r="F151" s="53">
        <f t="shared" si="3"/>
        <v>50.955414012738849</v>
      </c>
      <c r="G151" s="51">
        <v>7</v>
      </c>
      <c r="H151" s="51">
        <v>10</v>
      </c>
      <c r="I151" s="54">
        <v>4</v>
      </c>
      <c r="J151" s="54" t="s">
        <v>119</v>
      </c>
      <c r="K151" s="54" t="s">
        <v>95</v>
      </c>
      <c r="L151" s="55">
        <v>1</v>
      </c>
      <c r="M151" s="55" t="s">
        <v>189</v>
      </c>
    </row>
    <row r="152" spans="1:15" ht="66.75" thickBot="1" x14ac:dyDescent="0.3">
      <c r="A152" s="51">
        <v>151</v>
      </c>
      <c r="B152" s="51"/>
      <c r="C152" s="51" t="s">
        <v>88</v>
      </c>
      <c r="D152" s="52" t="s">
        <v>93</v>
      </c>
      <c r="E152" s="51">
        <v>220</v>
      </c>
      <c r="F152" s="53">
        <f t="shared" si="3"/>
        <v>35.031847133757964</v>
      </c>
      <c r="G152" s="51">
        <v>6</v>
      </c>
      <c r="H152" s="51">
        <v>10</v>
      </c>
      <c r="I152" s="54">
        <v>5</v>
      </c>
      <c r="J152" s="54" t="s">
        <v>115</v>
      </c>
      <c r="K152" s="54" t="s">
        <v>95</v>
      </c>
      <c r="L152" s="55">
        <v>1</v>
      </c>
      <c r="M152" s="55" t="s">
        <v>189</v>
      </c>
    </row>
    <row r="153" spans="1:15" ht="66.75" thickBot="1" x14ac:dyDescent="0.3">
      <c r="A153" s="51">
        <v>152</v>
      </c>
      <c r="B153" s="51"/>
      <c r="C153" s="51" t="s">
        <v>88</v>
      </c>
      <c r="D153" s="52" t="s">
        <v>93</v>
      </c>
      <c r="E153" s="51">
        <v>275</v>
      </c>
      <c r="F153" s="53">
        <f t="shared" si="3"/>
        <v>43.789808917197448</v>
      </c>
      <c r="G153" s="51">
        <v>5</v>
      </c>
      <c r="H153" s="51">
        <v>10</v>
      </c>
      <c r="I153" s="54">
        <v>5</v>
      </c>
      <c r="J153" s="54" t="s">
        <v>115</v>
      </c>
      <c r="K153" s="54" t="s">
        <v>95</v>
      </c>
      <c r="L153" s="55">
        <v>1</v>
      </c>
      <c r="M153" s="55" t="s">
        <v>189</v>
      </c>
    </row>
    <row r="154" spans="1:15" ht="66.75" thickBot="1" x14ac:dyDescent="0.3">
      <c r="A154" s="51">
        <v>153</v>
      </c>
      <c r="B154" s="51"/>
      <c r="C154" s="51" t="s">
        <v>88</v>
      </c>
      <c r="D154" s="52" t="s">
        <v>93</v>
      </c>
      <c r="E154" s="51">
        <v>290</v>
      </c>
      <c r="F154" s="53">
        <f t="shared" si="3"/>
        <v>46.178343949044582</v>
      </c>
      <c r="G154" s="51">
        <v>5</v>
      </c>
      <c r="H154" s="51">
        <v>10</v>
      </c>
      <c r="I154" s="54">
        <v>5</v>
      </c>
      <c r="J154" s="54" t="s">
        <v>115</v>
      </c>
      <c r="K154" s="54" t="s">
        <v>95</v>
      </c>
      <c r="L154" s="55">
        <v>1</v>
      </c>
      <c r="M154" s="55" t="s">
        <v>189</v>
      </c>
    </row>
    <row r="155" spans="1:15" ht="33.75" thickBot="1" x14ac:dyDescent="0.3">
      <c r="A155" s="51">
        <v>154</v>
      </c>
      <c r="B155" s="51"/>
      <c r="C155" s="51" t="s">
        <v>88</v>
      </c>
      <c r="D155" s="52" t="s">
        <v>94</v>
      </c>
      <c r="E155" s="51">
        <v>130</v>
      </c>
      <c r="F155" s="56">
        <f t="shared" si="3"/>
        <v>20.700636942675157</v>
      </c>
      <c r="G155" s="51">
        <v>4.5</v>
      </c>
      <c r="H155" s="51">
        <v>6</v>
      </c>
      <c r="I155" s="54">
        <v>5</v>
      </c>
      <c r="J155" s="54"/>
      <c r="K155" s="54" t="s">
        <v>95</v>
      </c>
      <c r="L155" s="55">
        <v>1</v>
      </c>
      <c r="M155" s="55" t="s">
        <v>189</v>
      </c>
    </row>
    <row r="156" spans="1:15" ht="66.75" thickBot="1" x14ac:dyDescent="0.3">
      <c r="A156" s="51">
        <v>155</v>
      </c>
      <c r="B156" s="51"/>
      <c r="C156" s="51" t="s">
        <v>88</v>
      </c>
      <c r="D156" s="52" t="s">
        <v>91</v>
      </c>
      <c r="E156" s="51">
        <v>160</v>
      </c>
      <c r="F156" s="56">
        <f t="shared" si="3"/>
        <v>25.477707006369425</v>
      </c>
      <c r="G156" s="51">
        <v>6</v>
      </c>
      <c r="H156" s="51">
        <v>7</v>
      </c>
      <c r="I156" s="54">
        <v>4</v>
      </c>
      <c r="J156" s="54" t="s">
        <v>115</v>
      </c>
      <c r="K156" s="54" t="s">
        <v>95</v>
      </c>
      <c r="L156" s="55">
        <v>1</v>
      </c>
      <c r="M156" s="55" t="s">
        <v>189</v>
      </c>
    </row>
    <row r="157" spans="1:15" ht="66.75" thickBot="1" x14ac:dyDescent="0.3">
      <c r="A157" s="51">
        <v>156</v>
      </c>
      <c r="B157" s="51"/>
      <c r="C157" s="51" t="s">
        <v>88</v>
      </c>
      <c r="D157" s="52" t="s">
        <v>91</v>
      </c>
      <c r="E157" s="51">
        <v>120</v>
      </c>
      <c r="F157" s="56">
        <f t="shared" si="3"/>
        <v>19.108280254777068</v>
      </c>
      <c r="G157" s="51">
        <v>5</v>
      </c>
      <c r="H157" s="51">
        <v>6</v>
      </c>
      <c r="I157" s="54">
        <v>5</v>
      </c>
      <c r="J157" s="54"/>
      <c r="K157" s="54" t="s">
        <v>95</v>
      </c>
      <c r="L157" s="55">
        <v>1</v>
      </c>
      <c r="M157" s="55" t="s">
        <v>189</v>
      </c>
    </row>
    <row r="158" spans="1:15" ht="66.75" thickBot="1" x14ac:dyDescent="0.3">
      <c r="A158" s="51">
        <v>157</v>
      </c>
      <c r="B158" s="51"/>
      <c r="C158" s="51" t="s">
        <v>88</v>
      </c>
      <c r="D158" s="52" t="s">
        <v>91</v>
      </c>
      <c r="E158" s="51">
        <v>45</v>
      </c>
      <c r="F158" s="56">
        <f t="shared" si="3"/>
        <v>7.1656050955414008</v>
      </c>
      <c r="G158" s="51">
        <v>4</v>
      </c>
      <c r="H158" s="51">
        <v>4</v>
      </c>
      <c r="I158" s="54">
        <v>5</v>
      </c>
      <c r="J158" s="54" t="s">
        <v>99</v>
      </c>
      <c r="K158" s="54" t="s">
        <v>95</v>
      </c>
      <c r="L158" s="55">
        <v>1</v>
      </c>
      <c r="M158" s="55" t="s">
        <v>189</v>
      </c>
    </row>
    <row r="159" spans="1:15" ht="66.75" thickBot="1" x14ac:dyDescent="0.3">
      <c r="A159" s="51">
        <v>158</v>
      </c>
      <c r="B159" s="51"/>
      <c r="C159" s="51" t="s">
        <v>88</v>
      </c>
      <c r="D159" s="52" t="s">
        <v>93</v>
      </c>
      <c r="E159" s="51">
        <v>160</v>
      </c>
      <c r="F159" s="56">
        <f t="shared" si="3"/>
        <v>25.477707006369425</v>
      </c>
      <c r="G159" s="51">
        <v>4</v>
      </c>
      <c r="H159" s="51">
        <v>6</v>
      </c>
      <c r="I159" s="54">
        <v>4</v>
      </c>
      <c r="J159" s="54"/>
      <c r="K159" s="54" t="s">
        <v>95</v>
      </c>
      <c r="L159" s="55">
        <v>1</v>
      </c>
      <c r="M159" s="55" t="s">
        <v>189</v>
      </c>
      <c r="O159" s="30"/>
    </row>
    <row r="160" spans="1:15" ht="66.75" thickBot="1" x14ac:dyDescent="0.3">
      <c r="A160" s="57">
        <v>159</v>
      </c>
      <c r="B160" s="57"/>
      <c r="C160" s="57" t="s">
        <v>88</v>
      </c>
      <c r="D160" s="58" t="s">
        <v>93</v>
      </c>
      <c r="E160" s="57">
        <v>120</v>
      </c>
      <c r="F160" s="59">
        <f t="shared" si="3"/>
        <v>19.108280254777068</v>
      </c>
      <c r="G160" s="57">
        <v>6</v>
      </c>
      <c r="H160" s="57">
        <v>1</v>
      </c>
      <c r="I160" s="60">
        <v>4</v>
      </c>
      <c r="J160" s="60"/>
      <c r="K160" s="60" t="s">
        <v>95</v>
      </c>
      <c r="L160" s="61">
        <v>1</v>
      </c>
      <c r="M160" s="61" t="s">
        <v>188</v>
      </c>
    </row>
    <row r="161" spans="1:13" ht="66.75" thickBot="1" x14ac:dyDescent="0.3">
      <c r="A161" s="57">
        <v>160</v>
      </c>
      <c r="B161" s="57"/>
      <c r="C161" s="57" t="s">
        <v>88</v>
      </c>
      <c r="D161" s="58" t="s">
        <v>91</v>
      </c>
      <c r="E161" s="57">
        <v>160</v>
      </c>
      <c r="F161" s="59">
        <f t="shared" si="3"/>
        <v>25.477707006369425</v>
      </c>
      <c r="G161" s="57">
        <v>2.5</v>
      </c>
      <c r="H161" s="57">
        <v>4</v>
      </c>
      <c r="I161" s="60">
        <v>5</v>
      </c>
      <c r="J161" s="60"/>
      <c r="K161" s="60" t="s">
        <v>95</v>
      </c>
      <c r="L161" s="61">
        <v>1</v>
      </c>
      <c r="M161" s="61" t="s">
        <v>188</v>
      </c>
    </row>
    <row r="162" spans="1:13" ht="99.75" thickBot="1" x14ac:dyDescent="0.3">
      <c r="A162" s="15">
        <v>161</v>
      </c>
      <c r="B162" s="16"/>
      <c r="C162" s="15" t="s">
        <v>88</v>
      </c>
      <c r="D162" s="17" t="s">
        <v>120</v>
      </c>
      <c r="E162" s="15">
        <v>20</v>
      </c>
      <c r="F162" s="18">
        <f t="shared" si="3"/>
        <v>3.1847133757961781</v>
      </c>
      <c r="G162" s="15">
        <v>1.5</v>
      </c>
      <c r="H162" s="15">
        <v>2</v>
      </c>
      <c r="I162" s="19">
        <v>5</v>
      </c>
      <c r="J162" s="19"/>
      <c r="K162" s="19"/>
      <c r="L162">
        <v>1</v>
      </c>
    </row>
    <row r="163" spans="1:13" ht="66.75" thickBot="1" x14ac:dyDescent="0.3">
      <c r="A163" s="15">
        <v>162</v>
      </c>
      <c r="B163" s="16"/>
      <c r="C163" s="15" t="s">
        <v>88</v>
      </c>
      <c r="D163" s="17" t="s">
        <v>121</v>
      </c>
      <c r="E163" s="15">
        <v>120</v>
      </c>
      <c r="F163" s="18">
        <f t="shared" si="3"/>
        <v>19.108280254777068</v>
      </c>
      <c r="G163" s="15">
        <v>5</v>
      </c>
      <c r="H163" s="15">
        <v>5</v>
      </c>
      <c r="I163" s="19">
        <v>5</v>
      </c>
      <c r="J163" s="19"/>
      <c r="K163" s="19"/>
      <c r="L163">
        <v>1</v>
      </c>
    </row>
    <row r="164" spans="1:13" ht="99.75" thickBot="1" x14ac:dyDescent="0.3">
      <c r="A164" s="15">
        <v>163</v>
      </c>
      <c r="B164" s="16"/>
      <c r="C164" s="15" t="s">
        <v>88</v>
      </c>
      <c r="D164" s="17" t="s">
        <v>122</v>
      </c>
      <c r="E164" s="15">
        <v>30</v>
      </c>
      <c r="F164" s="18">
        <f t="shared" si="3"/>
        <v>4.7770700636942669</v>
      </c>
      <c r="G164" s="15">
        <v>1.5</v>
      </c>
      <c r="H164" s="15">
        <v>2</v>
      </c>
      <c r="I164" s="19">
        <v>4</v>
      </c>
      <c r="J164" s="19"/>
      <c r="K164" s="19"/>
      <c r="L164">
        <v>1</v>
      </c>
    </row>
    <row r="165" spans="1:13" ht="66.75" thickBot="1" x14ac:dyDescent="0.3">
      <c r="A165" s="15">
        <v>164</v>
      </c>
      <c r="B165" s="16"/>
      <c r="C165" s="15" t="s">
        <v>88</v>
      </c>
      <c r="D165" s="17" t="s">
        <v>93</v>
      </c>
      <c r="E165" s="15">
        <v>185</v>
      </c>
      <c r="F165" s="18">
        <f t="shared" si="3"/>
        <v>29.458598726114648</v>
      </c>
      <c r="G165" s="15">
        <v>8</v>
      </c>
      <c r="H165" s="15">
        <v>11</v>
      </c>
      <c r="I165" s="19">
        <v>5</v>
      </c>
      <c r="J165" s="19"/>
      <c r="K165" s="19"/>
      <c r="L165">
        <v>1</v>
      </c>
    </row>
    <row r="166" spans="1:13" ht="83.25" thickBot="1" x14ac:dyDescent="0.3">
      <c r="A166" s="15">
        <v>165</v>
      </c>
      <c r="B166" s="16"/>
      <c r="C166" s="15" t="s">
        <v>88</v>
      </c>
      <c r="D166" s="17" t="s">
        <v>123</v>
      </c>
      <c r="E166" s="15">
        <v>40</v>
      </c>
      <c r="F166" s="18">
        <f t="shared" si="3"/>
        <v>6.3694267515923562</v>
      </c>
      <c r="G166" s="15">
        <v>3</v>
      </c>
      <c r="H166" s="15">
        <v>4</v>
      </c>
      <c r="I166" s="19">
        <v>5</v>
      </c>
      <c r="J166" s="19"/>
      <c r="K166" s="19"/>
      <c r="L166">
        <v>1</v>
      </c>
    </row>
    <row r="167" spans="1:13" ht="83.25" thickBot="1" x14ac:dyDescent="0.3">
      <c r="A167" s="15">
        <v>166</v>
      </c>
      <c r="B167" s="16"/>
      <c r="C167" s="15" t="s">
        <v>88</v>
      </c>
      <c r="D167" s="17" t="s">
        <v>123</v>
      </c>
      <c r="E167" s="15">
        <v>50</v>
      </c>
      <c r="F167" s="18">
        <f t="shared" si="3"/>
        <v>7.9617834394904454</v>
      </c>
      <c r="G167" s="15">
        <v>4</v>
      </c>
      <c r="H167" s="15">
        <v>5</v>
      </c>
      <c r="I167" s="19">
        <v>5</v>
      </c>
      <c r="J167" s="19"/>
      <c r="K167" s="19"/>
      <c r="L167">
        <v>1</v>
      </c>
    </row>
    <row r="168" spans="1:13" ht="83.25" thickBot="1" x14ac:dyDescent="0.3">
      <c r="A168" s="15">
        <v>167</v>
      </c>
      <c r="B168" s="16"/>
      <c r="C168" s="15" t="s">
        <v>88</v>
      </c>
      <c r="D168" s="17" t="s">
        <v>123</v>
      </c>
      <c r="E168" s="15">
        <v>100</v>
      </c>
      <c r="F168" s="18">
        <f t="shared" si="3"/>
        <v>15.923566878980891</v>
      </c>
      <c r="G168" s="15">
        <v>5</v>
      </c>
      <c r="H168" s="15">
        <v>6</v>
      </c>
      <c r="I168" s="19">
        <v>5</v>
      </c>
      <c r="J168" s="19"/>
      <c r="K168" s="19"/>
      <c r="L168">
        <v>1</v>
      </c>
    </row>
    <row r="169" spans="1:13" ht="66.75" thickBot="1" x14ac:dyDescent="0.3">
      <c r="A169" s="15">
        <v>168</v>
      </c>
      <c r="B169" s="16"/>
      <c r="C169" s="15" t="s">
        <v>88</v>
      </c>
      <c r="D169" s="17" t="s">
        <v>102</v>
      </c>
      <c r="E169" s="15">
        <v>50</v>
      </c>
      <c r="F169" s="18">
        <f t="shared" si="3"/>
        <v>7.9617834394904454</v>
      </c>
      <c r="G169" s="15">
        <v>2</v>
      </c>
      <c r="H169" s="15">
        <v>5</v>
      </c>
      <c r="I169" s="19">
        <v>5</v>
      </c>
      <c r="J169" s="19"/>
      <c r="K169" s="19"/>
      <c r="L169">
        <v>1</v>
      </c>
    </row>
    <row r="170" spans="1:13" ht="66.75" thickBot="1" x14ac:dyDescent="0.3">
      <c r="A170" s="15">
        <v>169</v>
      </c>
      <c r="B170" s="16"/>
      <c r="C170" s="15" t="s">
        <v>88</v>
      </c>
      <c r="D170" s="17" t="s">
        <v>102</v>
      </c>
      <c r="E170" s="15">
        <v>60</v>
      </c>
      <c r="F170" s="18">
        <f t="shared" si="3"/>
        <v>9.5541401273885338</v>
      </c>
      <c r="G170" s="15">
        <v>2</v>
      </c>
      <c r="H170" s="15">
        <v>6</v>
      </c>
      <c r="I170" s="19">
        <v>5</v>
      </c>
      <c r="J170" s="19"/>
      <c r="K170" s="19"/>
      <c r="L170">
        <v>1</v>
      </c>
    </row>
    <row r="171" spans="1:13" ht="66.75" thickBot="1" x14ac:dyDescent="0.3">
      <c r="A171" s="15">
        <v>170</v>
      </c>
      <c r="B171" s="16"/>
      <c r="C171" s="15" t="s">
        <v>88</v>
      </c>
      <c r="D171" s="17" t="s">
        <v>102</v>
      </c>
      <c r="E171" s="15">
        <v>60</v>
      </c>
      <c r="F171" s="18">
        <f t="shared" si="3"/>
        <v>9.5541401273885338</v>
      </c>
      <c r="G171" s="15">
        <v>2</v>
      </c>
      <c r="H171" s="15">
        <v>5</v>
      </c>
      <c r="I171" s="19">
        <v>5</v>
      </c>
      <c r="J171" s="19"/>
      <c r="K171" s="19"/>
      <c r="L171">
        <v>1</v>
      </c>
    </row>
    <row r="172" spans="1:13" ht="66.75" thickBot="1" x14ac:dyDescent="0.3">
      <c r="A172" s="15">
        <v>171</v>
      </c>
      <c r="B172" s="16"/>
      <c r="C172" s="15" t="s">
        <v>88</v>
      </c>
      <c r="D172" s="17" t="s">
        <v>102</v>
      </c>
      <c r="E172" s="15">
        <v>50</v>
      </c>
      <c r="F172" s="18">
        <f t="shared" si="3"/>
        <v>7.9617834394904454</v>
      </c>
      <c r="G172" s="15">
        <v>2</v>
      </c>
      <c r="H172" s="15">
        <v>6</v>
      </c>
      <c r="I172" s="19">
        <v>5</v>
      </c>
      <c r="J172" s="19"/>
      <c r="K172" s="19"/>
      <c r="L172">
        <v>1</v>
      </c>
    </row>
    <row r="173" spans="1:13" ht="66.75" thickBot="1" x14ac:dyDescent="0.3">
      <c r="A173" s="15">
        <v>172</v>
      </c>
      <c r="B173" s="16"/>
      <c r="C173" s="15" t="s">
        <v>88</v>
      </c>
      <c r="D173" s="17" t="s">
        <v>102</v>
      </c>
      <c r="E173" s="15">
        <v>80</v>
      </c>
      <c r="F173" s="18">
        <f t="shared" si="3"/>
        <v>12.738853503184712</v>
      </c>
      <c r="G173" s="15">
        <v>2</v>
      </c>
      <c r="H173" s="15">
        <v>5</v>
      </c>
      <c r="I173" s="19">
        <v>5</v>
      </c>
      <c r="J173" s="19"/>
      <c r="K173" s="19"/>
      <c r="L173">
        <v>1</v>
      </c>
    </row>
    <row r="174" spans="1:13" ht="66.75" thickBot="1" x14ac:dyDescent="0.3">
      <c r="A174" s="15">
        <v>173</v>
      </c>
      <c r="B174" s="16"/>
      <c r="C174" s="15" t="s">
        <v>88</v>
      </c>
      <c r="D174" s="17" t="s">
        <v>102</v>
      </c>
      <c r="E174" s="15">
        <v>50</v>
      </c>
      <c r="F174" s="18">
        <f t="shared" si="3"/>
        <v>7.9617834394904454</v>
      </c>
      <c r="G174" s="15">
        <v>2</v>
      </c>
      <c r="H174" s="15">
        <v>6</v>
      </c>
      <c r="I174" s="19">
        <v>5</v>
      </c>
      <c r="J174" s="19"/>
      <c r="K174" s="19"/>
      <c r="L174">
        <v>1</v>
      </c>
    </row>
    <row r="175" spans="1:13" ht="66.75" thickBot="1" x14ac:dyDescent="0.3">
      <c r="A175" s="15">
        <v>174</v>
      </c>
      <c r="B175" s="16"/>
      <c r="C175" s="15" t="s">
        <v>88</v>
      </c>
      <c r="D175" s="17" t="s">
        <v>102</v>
      </c>
      <c r="E175" s="15">
        <v>60</v>
      </c>
      <c r="F175" s="18">
        <f t="shared" si="3"/>
        <v>9.5541401273885338</v>
      </c>
      <c r="G175" s="15">
        <v>2</v>
      </c>
      <c r="H175" s="15">
        <v>5</v>
      </c>
      <c r="I175" s="19">
        <v>5</v>
      </c>
      <c r="J175" s="19"/>
      <c r="K175" s="19"/>
      <c r="L175">
        <v>1</v>
      </c>
    </row>
    <row r="176" spans="1:13" ht="66.75" thickBot="1" x14ac:dyDescent="0.3">
      <c r="A176" s="15">
        <v>175</v>
      </c>
      <c r="B176" s="16"/>
      <c r="C176" s="15" t="s">
        <v>88</v>
      </c>
      <c r="D176" s="17" t="s">
        <v>102</v>
      </c>
      <c r="E176" s="15">
        <v>60</v>
      </c>
      <c r="F176" s="18">
        <f t="shared" si="3"/>
        <v>9.5541401273885338</v>
      </c>
      <c r="G176" s="15">
        <v>3</v>
      </c>
      <c r="H176" s="15">
        <v>5</v>
      </c>
      <c r="I176" s="19">
        <v>4</v>
      </c>
      <c r="J176" s="19"/>
      <c r="K176" s="19"/>
      <c r="L176">
        <v>1</v>
      </c>
    </row>
    <row r="177" spans="1:13" ht="66.75" thickBot="1" x14ac:dyDescent="0.3">
      <c r="A177" s="15">
        <v>176</v>
      </c>
      <c r="B177" s="16"/>
      <c r="C177" s="15" t="s">
        <v>88</v>
      </c>
      <c r="D177" s="17" t="s">
        <v>102</v>
      </c>
      <c r="E177" s="15">
        <v>60</v>
      </c>
      <c r="F177" s="18">
        <f t="shared" si="3"/>
        <v>9.5541401273885338</v>
      </c>
      <c r="G177" s="15">
        <v>3</v>
      </c>
      <c r="H177" s="15">
        <v>5</v>
      </c>
      <c r="I177" s="19">
        <v>4</v>
      </c>
      <c r="J177" s="19"/>
      <c r="K177" s="19"/>
      <c r="L177">
        <v>1</v>
      </c>
    </row>
    <row r="178" spans="1:13" ht="66.75" thickBot="1" x14ac:dyDescent="0.3">
      <c r="A178" s="15">
        <v>177</v>
      </c>
      <c r="B178" s="16"/>
      <c r="C178" s="15" t="s">
        <v>88</v>
      </c>
      <c r="D178" s="17" t="s">
        <v>102</v>
      </c>
      <c r="E178" s="15">
        <v>70</v>
      </c>
      <c r="F178" s="18">
        <f t="shared" si="3"/>
        <v>11.146496815286623</v>
      </c>
      <c r="G178" s="15">
        <v>3</v>
      </c>
      <c r="H178" s="15">
        <v>4</v>
      </c>
      <c r="I178" s="19">
        <v>5</v>
      </c>
      <c r="J178" s="19"/>
      <c r="K178" s="19"/>
      <c r="L178">
        <v>1</v>
      </c>
    </row>
    <row r="179" spans="1:13" ht="66.75" thickBot="1" x14ac:dyDescent="0.3">
      <c r="A179" s="15">
        <v>178</v>
      </c>
      <c r="B179" s="16"/>
      <c r="C179" s="15" t="s">
        <v>88</v>
      </c>
      <c r="D179" s="17" t="s">
        <v>102</v>
      </c>
      <c r="E179" s="15">
        <v>90</v>
      </c>
      <c r="F179" s="18">
        <f t="shared" si="3"/>
        <v>14.331210191082802</v>
      </c>
      <c r="G179" s="15">
        <v>3</v>
      </c>
      <c r="H179" s="15">
        <v>6</v>
      </c>
      <c r="I179" s="19">
        <v>5</v>
      </c>
      <c r="J179" s="19"/>
      <c r="K179" s="19"/>
      <c r="L179">
        <v>1</v>
      </c>
    </row>
    <row r="180" spans="1:13" ht="66.75" thickBot="1" x14ac:dyDescent="0.3">
      <c r="A180" s="15">
        <v>179</v>
      </c>
      <c r="B180" s="16"/>
      <c r="C180" s="15" t="s">
        <v>88</v>
      </c>
      <c r="D180" s="17" t="s">
        <v>102</v>
      </c>
      <c r="E180" s="15">
        <v>90</v>
      </c>
      <c r="F180" s="18">
        <f t="shared" si="3"/>
        <v>14.331210191082802</v>
      </c>
      <c r="G180" s="15">
        <v>3</v>
      </c>
      <c r="H180" s="15">
        <v>6</v>
      </c>
      <c r="I180" s="19">
        <v>5</v>
      </c>
      <c r="J180" s="19"/>
      <c r="K180" s="19"/>
      <c r="L180">
        <v>1</v>
      </c>
    </row>
    <row r="181" spans="1:13" ht="45.75" thickBot="1" x14ac:dyDescent="0.3">
      <c r="A181" s="15">
        <v>180</v>
      </c>
      <c r="B181" s="16"/>
      <c r="C181" s="15" t="s">
        <v>88</v>
      </c>
      <c r="D181" s="17" t="s">
        <v>124</v>
      </c>
      <c r="E181" s="15">
        <v>50</v>
      </c>
      <c r="F181" s="18">
        <f t="shared" si="3"/>
        <v>7.9617834394904454</v>
      </c>
      <c r="G181" s="15">
        <v>2</v>
      </c>
      <c r="H181" s="15">
        <v>5</v>
      </c>
      <c r="I181" s="19">
        <v>5</v>
      </c>
      <c r="J181" s="19" t="s">
        <v>116</v>
      </c>
      <c r="K181" s="19"/>
      <c r="L181">
        <v>1</v>
      </c>
    </row>
    <row r="182" spans="1:13" ht="83.25" thickBot="1" x14ac:dyDescent="0.3">
      <c r="A182" s="15">
        <v>181</v>
      </c>
      <c r="B182" s="16"/>
      <c r="C182" s="15" t="s">
        <v>88</v>
      </c>
      <c r="D182" s="17" t="s">
        <v>101</v>
      </c>
      <c r="E182" s="15">
        <v>35</v>
      </c>
      <c r="F182" s="18">
        <f t="shared" si="3"/>
        <v>5.5732484076433115</v>
      </c>
      <c r="G182" s="15">
        <v>2</v>
      </c>
      <c r="H182" s="15">
        <v>3.5</v>
      </c>
      <c r="I182" s="19">
        <v>5</v>
      </c>
      <c r="J182" s="19"/>
      <c r="K182" s="19"/>
      <c r="L182">
        <v>1</v>
      </c>
    </row>
    <row r="183" spans="1:13" ht="66.75" thickBot="1" x14ac:dyDescent="0.3">
      <c r="A183" s="15">
        <v>182</v>
      </c>
      <c r="B183" s="16"/>
      <c r="C183" s="15" t="s">
        <v>88</v>
      </c>
      <c r="D183" s="17" t="s">
        <v>121</v>
      </c>
      <c r="E183" s="21">
        <v>7.5</v>
      </c>
      <c r="F183" s="18">
        <f t="shared" si="3"/>
        <v>1.1942675159235667</v>
      </c>
      <c r="G183" s="21">
        <v>3</v>
      </c>
      <c r="H183" s="15">
        <v>5</v>
      </c>
      <c r="I183" s="19">
        <v>4</v>
      </c>
      <c r="J183" s="19"/>
      <c r="K183" s="19"/>
      <c r="L183">
        <v>1</v>
      </c>
    </row>
    <row r="184" spans="1:13" ht="45.75" thickBot="1" x14ac:dyDescent="0.3">
      <c r="A184" s="22"/>
      <c r="B184" s="23"/>
      <c r="C184" s="22"/>
      <c r="D184" s="24"/>
      <c r="E184" s="25"/>
      <c r="F184" s="26"/>
      <c r="G184" s="22"/>
      <c r="H184" s="22"/>
      <c r="I184" s="27"/>
      <c r="J184" s="27" t="s">
        <v>125</v>
      </c>
      <c r="K184" s="85">
        <f>COUNTA(K2:K183)</f>
        <v>67</v>
      </c>
      <c r="L184" s="86"/>
      <c r="M184" s="28"/>
    </row>
  </sheetData>
  <mergeCells count="1">
    <mergeCell ref="K184:L18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Normal="100" workbookViewId="0">
      <selection activeCell="G5" sqref="G5"/>
    </sheetView>
  </sheetViews>
  <sheetFormatPr defaultRowHeight="15" x14ac:dyDescent="0.25"/>
  <cols>
    <col min="2" max="2" width="12.140625" customWidth="1"/>
    <col min="3" max="3" width="45.7109375" customWidth="1"/>
  </cols>
  <sheetData>
    <row r="1" spans="1:5" ht="71.25" customHeight="1" x14ac:dyDescent="0.25">
      <c r="A1" s="94" t="s">
        <v>176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2431/1000</f>
        <v>2.431</v>
      </c>
    </row>
    <row r="7" spans="1:5" x14ac:dyDescent="0.25">
      <c r="A7" s="87" t="s">
        <v>17</v>
      </c>
      <c r="B7" s="87"/>
      <c r="C7" s="87"/>
      <c r="D7" s="87"/>
      <c r="E7" s="87"/>
    </row>
    <row r="8" spans="1:5" x14ac:dyDescent="0.25">
      <c r="A8" s="2" t="s">
        <v>18</v>
      </c>
      <c r="B8" s="2"/>
      <c r="C8" s="87" t="s">
        <v>19</v>
      </c>
      <c r="D8" s="87"/>
      <c r="E8" s="87"/>
    </row>
    <row r="9" spans="1:5" x14ac:dyDescent="0.25">
      <c r="A9" s="66"/>
      <c r="B9" s="66" t="s">
        <v>20</v>
      </c>
      <c r="C9" s="3" t="s">
        <v>60</v>
      </c>
      <c r="D9" s="66"/>
      <c r="E9" s="7"/>
    </row>
    <row r="10" spans="1:5" ht="30" x14ac:dyDescent="0.25">
      <c r="A10" s="66" t="s">
        <v>157</v>
      </c>
      <c r="B10" s="66"/>
      <c r="C10" s="8" t="s">
        <v>61</v>
      </c>
      <c r="D10" s="66" t="s">
        <v>62</v>
      </c>
      <c r="E10" s="5">
        <v>1009.6</v>
      </c>
    </row>
    <row r="11" spans="1:5" x14ac:dyDescent="0.25">
      <c r="A11" s="66"/>
      <c r="B11" s="66" t="s">
        <v>22</v>
      </c>
      <c r="C11" s="3" t="s">
        <v>63</v>
      </c>
      <c r="D11" s="66"/>
      <c r="E11" s="5"/>
    </row>
    <row r="12" spans="1:5" ht="30" x14ac:dyDescent="0.25">
      <c r="A12" s="66" t="s">
        <v>18</v>
      </c>
      <c r="B12" s="66"/>
      <c r="C12" s="8" t="s">
        <v>64</v>
      </c>
      <c r="D12" s="9" t="s">
        <v>62</v>
      </c>
      <c r="E12" s="5">
        <v>110.8</v>
      </c>
    </row>
    <row r="13" spans="1:5" x14ac:dyDescent="0.25">
      <c r="A13" s="87" t="s">
        <v>23</v>
      </c>
      <c r="B13" s="87"/>
      <c r="C13" s="87"/>
      <c r="D13" s="87"/>
      <c r="E13" s="87"/>
    </row>
    <row r="14" spans="1:5" x14ac:dyDescent="0.25">
      <c r="A14" s="2" t="s">
        <v>27</v>
      </c>
      <c r="B14" s="2"/>
      <c r="C14" s="87" t="s">
        <v>28</v>
      </c>
      <c r="D14" s="87"/>
      <c r="E14" s="87"/>
    </row>
    <row r="15" spans="1:5" ht="45" x14ac:dyDescent="0.25">
      <c r="A15" s="66" t="s">
        <v>157</v>
      </c>
      <c r="B15" s="66" t="s">
        <v>65</v>
      </c>
      <c r="C15" s="8" t="s">
        <v>67</v>
      </c>
      <c r="D15" s="5" t="s">
        <v>66</v>
      </c>
      <c r="E15" s="32">
        <f>E22</f>
        <v>4862</v>
      </c>
    </row>
    <row r="16" spans="1:5" ht="45" x14ac:dyDescent="0.25">
      <c r="A16" s="66" t="s">
        <v>24</v>
      </c>
      <c r="B16" s="66" t="s">
        <v>65</v>
      </c>
      <c r="C16" s="8" t="s">
        <v>69</v>
      </c>
      <c r="D16" s="5" t="s">
        <v>66</v>
      </c>
      <c r="E16" s="32">
        <f>E22</f>
        <v>4862</v>
      </c>
    </row>
    <row r="17" spans="1:5" ht="30" x14ac:dyDescent="0.25">
      <c r="A17" s="66" t="s">
        <v>27</v>
      </c>
      <c r="B17" s="66" t="s">
        <v>29</v>
      </c>
      <c r="C17" s="3" t="s">
        <v>319</v>
      </c>
      <c r="D17" s="66" t="s">
        <v>13</v>
      </c>
      <c r="E17" s="32">
        <f>E22</f>
        <v>4862</v>
      </c>
    </row>
    <row r="18" spans="1:5" ht="30" x14ac:dyDescent="0.25">
      <c r="A18" s="66" t="s">
        <v>31</v>
      </c>
      <c r="B18" s="66" t="s">
        <v>324</v>
      </c>
      <c r="C18" s="3" t="s">
        <v>74</v>
      </c>
      <c r="D18" s="66" t="s">
        <v>13</v>
      </c>
      <c r="E18" s="32">
        <f>E22</f>
        <v>4862</v>
      </c>
    </row>
    <row r="19" spans="1:5" ht="30" x14ac:dyDescent="0.25">
      <c r="A19" s="66" t="s">
        <v>35</v>
      </c>
      <c r="B19" s="66" t="s">
        <v>316</v>
      </c>
      <c r="C19" s="3" t="s">
        <v>164</v>
      </c>
      <c r="D19" s="66" t="s">
        <v>13</v>
      </c>
      <c r="E19" s="32">
        <f>E22</f>
        <v>4862</v>
      </c>
    </row>
    <row r="20" spans="1:5" x14ac:dyDescent="0.25">
      <c r="A20" s="87" t="s">
        <v>30</v>
      </c>
      <c r="B20" s="87"/>
      <c r="C20" s="87"/>
      <c r="D20" s="87"/>
      <c r="E20" s="87"/>
    </row>
    <row r="21" spans="1:5" x14ac:dyDescent="0.25">
      <c r="A21" s="2" t="s">
        <v>31</v>
      </c>
      <c r="B21" s="2"/>
      <c r="C21" s="87" t="s">
        <v>32</v>
      </c>
      <c r="D21" s="87"/>
      <c r="E21" s="87"/>
    </row>
    <row r="22" spans="1:5" ht="60" x14ac:dyDescent="0.25">
      <c r="A22" s="66" t="s">
        <v>157</v>
      </c>
      <c r="B22" s="66" t="s">
        <v>325</v>
      </c>
      <c r="C22" s="3" t="s">
        <v>133</v>
      </c>
      <c r="D22" s="66" t="s">
        <v>13</v>
      </c>
      <c r="E22" s="5">
        <f>E6*1000*2</f>
        <v>4862</v>
      </c>
    </row>
    <row r="23" spans="1:5" ht="30" x14ac:dyDescent="0.25">
      <c r="A23" s="66" t="s">
        <v>18</v>
      </c>
      <c r="B23" s="66" t="s">
        <v>325</v>
      </c>
      <c r="C23" s="3" t="s">
        <v>73</v>
      </c>
      <c r="D23" s="66" t="s">
        <v>51</v>
      </c>
      <c r="E23" s="5">
        <f>E22*0.05*1.03</f>
        <v>250.39300000000003</v>
      </c>
    </row>
    <row r="24" spans="1:5" x14ac:dyDescent="0.25">
      <c r="A24" s="87" t="s">
        <v>34</v>
      </c>
      <c r="B24" s="87"/>
      <c r="C24" s="87"/>
      <c r="D24" s="87"/>
      <c r="E24" s="87"/>
    </row>
    <row r="25" spans="1:5" x14ac:dyDescent="0.25">
      <c r="A25" s="2" t="s">
        <v>35</v>
      </c>
      <c r="B25" s="2"/>
      <c r="C25" s="87" t="s">
        <v>70</v>
      </c>
      <c r="D25" s="87"/>
      <c r="E25" s="87"/>
    </row>
    <row r="26" spans="1:5" ht="17.25" x14ac:dyDescent="0.25">
      <c r="A26" s="66" t="s">
        <v>157</v>
      </c>
      <c r="B26" s="66" t="s">
        <v>318</v>
      </c>
      <c r="C26" s="3" t="s">
        <v>71</v>
      </c>
      <c r="D26" s="66" t="s">
        <v>13</v>
      </c>
      <c r="E26" s="5">
        <f>E22</f>
        <v>4862</v>
      </c>
    </row>
    <row r="27" spans="1:5" ht="17.25" x14ac:dyDescent="0.25">
      <c r="A27" s="66" t="s">
        <v>18</v>
      </c>
      <c r="B27" s="66" t="s">
        <v>151</v>
      </c>
      <c r="C27" s="3" t="s">
        <v>152</v>
      </c>
      <c r="D27" s="66" t="s">
        <v>13</v>
      </c>
      <c r="E27" s="32">
        <f>E6*1000*0.5*2</f>
        <v>2431</v>
      </c>
    </row>
    <row r="28" spans="1:5" x14ac:dyDescent="0.25">
      <c r="A28" s="87" t="s">
        <v>72</v>
      </c>
      <c r="B28" s="87"/>
      <c r="C28" s="87"/>
      <c r="D28" s="87"/>
      <c r="E28" s="87"/>
    </row>
    <row r="29" spans="1:5" x14ac:dyDescent="0.25">
      <c r="A29" s="2" t="s">
        <v>42</v>
      </c>
      <c r="B29" s="2"/>
      <c r="C29" s="87" t="s">
        <v>36</v>
      </c>
      <c r="D29" s="87"/>
      <c r="E29" s="87"/>
    </row>
    <row r="30" spans="1:5" x14ac:dyDescent="0.25">
      <c r="A30" s="2"/>
      <c r="B30" s="2"/>
      <c r="C30" s="87" t="s">
        <v>39</v>
      </c>
      <c r="D30" s="87"/>
      <c r="E30" s="87"/>
    </row>
    <row r="31" spans="1:5" x14ac:dyDescent="0.25">
      <c r="A31" s="66"/>
      <c r="B31" s="66" t="s">
        <v>40</v>
      </c>
      <c r="C31" s="35" t="s">
        <v>163</v>
      </c>
      <c r="D31" s="62"/>
      <c r="E31" s="5"/>
    </row>
    <row r="32" spans="1:5" x14ac:dyDescent="0.25">
      <c r="A32" s="66" t="s">
        <v>157</v>
      </c>
      <c r="B32" s="66"/>
      <c r="C32" s="35" t="s">
        <v>199</v>
      </c>
      <c r="D32" s="66" t="s">
        <v>12</v>
      </c>
      <c r="E32" s="66" t="s">
        <v>18</v>
      </c>
    </row>
    <row r="33" spans="1:5" x14ac:dyDescent="0.25">
      <c r="A33" s="66" t="s">
        <v>18</v>
      </c>
      <c r="B33" s="66"/>
      <c r="C33" s="35" t="s">
        <v>200</v>
      </c>
      <c r="D33" s="66" t="s">
        <v>12</v>
      </c>
      <c r="E33" s="66" t="s">
        <v>161</v>
      </c>
    </row>
    <row r="34" spans="1:5" x14ac:dyDescent="0.25">
      <c r="A34" s="66" t="s">
        <v>24</v>
      </c>
      <c r="B34" s="66"/>
      <c r="C34" s="35" t="s">
        <v>219</v>
      </c>
      <c r="D34" s="66" t="s">
        <v>12</v>
      </c>
      <c r="E34" s="66" t="s">
        <v>157</v>
      </c>
    </row>
    <row r="35" spans="1:5" x14ac:dyDescent="0.25">
      <c r="A35" s="66" t="s">
        <v>27</v>
      </c>
      <c r="B35" s="66"/>
      <c r="C35" s="35" t="s">
        <v>202</v>
      </c>
      <c r="D35" s="66" t="s">
        <v>12</v>
      </c>
      <c r="E35" s="66" t="s">
        <v>157</v>
      </c>
    </row>
    <row r="36" spans="1:5" x14ac:dyDescent="0.25">
      <c r="A36" s="66" t="s">
        <v>31</v>
      </c>
      <c r="B36" s="66"/>
      <c r="C36" s="35" t="s">
        <v>211</v>
      </c>
      <c r="D36" s="66" t="s">
        <v>12</v>
      </c>
      <c r="E36" s="66" t="s">
        <v>157</v>
      </c>
    </row>
    <row r="37" spans="1:5" x14ac:dyDescent="0.25">
      <c r="A37" s="66" t="s">
        <v>35</v>
      </c>
      <c r="B37" s="66"/>
      <c r="C37" s="35" t="s">
        <v>226</v>
      </c>
      <c r="D37" s="66" t="s">
        <v>12</v>
      </c>
      <c r="E37" s="66" t="s">
        <v>157</v>
      </c>
    </row>
    <row r="38" spans="1:5" x14ac:dyDescent="0.25">
      <c r="A38" s="66" t="s">
        <v>42</v>
      </c>
      <c r="B38" s="66"/>
      <c r="C38" s="35" t="s">
        <v>227</v>
      </c>
      <c r="D38" s="66" t="s">
        <v>12</v>
      </c>
      <c r="E38" s="66" t="s">
        <v>157</v>
      </c>
    </row>
    <row r="39" spans="1:5" x14ac:dyDescent="0.25">
      <c r="A39" s="66" t="s">
        <v>47</v>
      </c>
      <c r="B39" s="66"/>
      <c r="C39" s="34" t="s">
        <v>216</v>
      </c>
      <c r="D39" s="66" t="s">
        <v>12</v>
      </c>
      <c r="E39" s="66" t="s">
        <v>24</v>
      </c>
    </row>
    <row r="40" spans="1:5" x14ac:dyDescent="0.25">
      <c r="A40" s="66" t="s">
        <v>160</v>
      </c>
      <c r="B40" s="66"/>
      <c r="C40" s="35" t="s">
        <v>228</v>
      </c>
      <c r="D40" s="66" t="s">
        <v>12</v>
      </c>
      <c r="E40" s="66" t="s">
        <v>157</v>
      </c>
    </row>
    <row r="41" spans="1:5" x14ac:dyDescent="0.25">
      <c r="A41" s="66" t="s">
        <v>52</v>
      </c>
      <c r="B41" s="66"/>
      <c r="C41" s="35" t="s">
        <v>212</v>
      </c>
      <c r="D41" s="66" t="s">
        <v>12</v>
      </c>
      <c r="E41" s="66" t="s">
        <v>201</v>
      </c>
    </row>
    <row r="42" spans="1:5" x14ac:dyDescent="0.25">
      <c r="A42" s="87" t="s">
        <v>41</v>
      </c>
      <c r="B42" s="87"/>
      <c r="C42" s="87"/>
      <c r="D42" s="87"/>
      <c r="E42" s="87"/>
    </row>
    <row r="43" spans="1:5" x14ac:dyDescent="0.25">
      <c r="A43" s="2" t="s">
        <v>47</v>
      </c>
      <c r="B43" s="2"/>
      <c r="C43" s="87" t="s">
        <v>43</v>
      </c>
      <c r="D43" s="87"/>
      <c r="E43" s="87"/>
    </row>
    <row r="44" spans="1:5" ht="30" x14ac:dyDescent="0.25">
      <c r="A44" s="66" t="s">
        <v>157</v>
      </c>
      <c r="B44" s="66" t="s">
        <v>44</v>
      </c>
      <c r="C44" s="3" t="s">
        <v>193</v>
      </c>
      <c r="D44" s="66" t="s">
        <v>15</v>
      </c>
      <c r="E44" s="32">
        <f>E6*1000*2</f>
        <v>4862</v>
      </c>
    </row>
    <row r="45" spans="1:5" x14ac:dyDescent="0.25">
      <c r="A45" s="87" t="s">
        <v>46</v>
      </c>
      <c r="B45" s="87"/>
      <c r="C45" s="87"/>
      <c r="D45" s="87"/>
      <c r="E45" s="87"/>
    </row>
    <row r="46" spans="1:5" x14ac:dyDescent="0.25">
      <c r="A46" s="2" t="s">
        <v>154</v>
      </c>
      <c r="B46" s="70"/>
      <c r="C46" s="87" t="s">
        <v>345</v>
      </c>
      <c r="D46" s="87"/>
      <c r="E46" s="87"/>
    </row>
    <row r="47" spans="1:5" x14ac:dyDescent="0.25">
      <c r="A47" s="71" t="s">
        <v>157</v>
      </c>
      <c r="B47" s="71" t="s">
        <v>346</v>
      </c>
      <c r="C47" s="35" t="s">
        <v>347</v>
      </c>
      <c r="D47" s="71" t="s">
        <v>12</v>
      </c>
      <c r="E47" s="71" t="s">
        <v>157</v>
      </c>
    </row>
    <row r="48" spans="1:5" x14ac:dyDescent="0.25">
      <c r="A48" s="87" t="s">
        <v>53</v>
      </c>
      <c r="B48" s="87"/>
      <c r="C48" s="87"/>
      <c r="D48" s="87"/>
      <c r="E48" s="87"/>
    </row>
    <row r="49" spans="1:5" x14ac:dyDescent="0.25">
      <c r="A49" s="88" t="s">
        <v>54</v>
      </c>
      <c r="B49" s="89"/>
      <c r="C49" s="89"/>
      <c r="D49" s="89"/>
      <c r="E49" s="89"/>
    </row>
    <row r="50" spans="1:5" x14ac:dyDescent="0.25">
      <c r="A50" s="90" t="s">
        <v>55</v>
      </c>
      <c r="B50" s="91"/>
      <c r="C50" s="91"/>
      <c r="D50" s="91"/>
      <c r="E50" s="91"/>
    </row>
    <row r="51" spans="1:5" x14ac:dyDescent="0.25">
      <c r="A51" s="92" t="s">
        <v>56</v>
      </c>
      <c r="B51" s="93"/>
      <c r="C51" s="93"/>
      <c r="D51" s="93"/>
      <c r="E51" s="93"/>
    </row>
  </sheetData>
  <mergeCells count="24">
    <mergeCell ref="A1:E1"/>
    <mergeCell ref="A2:E2"/>
    <mergeCell ref="C4:E4"/>
    <mergeCell ref="A5:A6"/>
    <mergeCell ref="B5:B6"/>
    <mergeCell ref="C29:E29"/>
    <mergeCell ref="A7:E7"/>
    <mergeCell ref="C8:E8"/>
    <mergeCell ref="A13:E13"/>
    <mergeCell ref="C14:E14"/>
    <mergeCell ref="A20:E20"/>
    <mergeCell ref="C21:E21"/>
    <mergeCell ref="A24:E24"/>
    <mergeCell ref="C25:E25"/>
    <mergeCell ref="A28:E28"/>
    <mergeCell ref="A49:E49"/>
    <mergeCell ref="A50:E50"/>
    <mergeCell ref="A51:E51"/>
    <mergeCell ref="C30:E30"/>
    <mergeCell ref="A42:E42"/>
    <mergeCell ref="C43:E43"/>
    <mergeCell ref="A45:E45"/>
    <mergeCell ref="C46:E46"/>
    <mergeCell ref="A48:E48"/>
  </mergeCells>
  <pageMargins left="0.7" right="0.7" top="0.75" bottom="0.75" header="0.3" footer="0.3"/>
  <pageSetup paperSize="9" scale="80" orientation="portrait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zoomScaleNormal="100" workbookViewId="0">
      <selection activeCell="A2" sqref="A2:XFD2"/>
    </sheetView>
  </sheetViews>
  <sheetFormatPr defaultRowHeight="15" x14ac:dyDescent="0.25"/>
  <cols>
    <col min="2" max="2" width="12.28515625" customWidth="1"/>
    <col min="3" max="3" width="48.5703125" customWidth="1"/>
  </cols>
  <sheetData>
    <row r="1" spans="1:5" ht="77.25" customHeight="1" x14ac:dyDescent="0.25">
      <c r="A1" s="94" t="s">
        <v>177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148/1000</f>
        <v>0.14799999999999999</v>
      </c>
    </row>
    <row r="7" spans="1:5" ht="45" x14ac:dyDescent="0.25">
      <c r="A7" s="66" t="s">
        <v>18</v>
      </c>
      <c r="B7" s="66" t="s">
        <v>14</v>
      </c>
      <c r="C7" s="3" t="s">
        <v>144</v>
      </c>
      <c r="D7" s="66" t="s">
        <v>21</v>
      </c>
      <c r="E7" s="5">
        <v>42.27</v>
      </c>
    </row>
    <row r="8" spans="1:5" x14ac:dyDescent="0.25">
      <c r="A8" s="66" t="s">
        <v>24</v>
      </c>
      <c r="B8" s="66" t="s">
        <v>14</v>
      </c>
      <c r="C8" s="3" t="s">
        <v>16</v>
      </c>
      <c r="D8" s="66" t="s">
        <v>15</v>
      </c>
      <c r="E8" s="7">
        <v>15</v>
      </c>
    </row>
    <row r="9" spans="1:5" ht="30" x14ac:dyDescent="0.25">
      <c r="A9" s="66" t="s">
        <v>27</v>
      </c>
      <c r="B9" s="66" t="s">
        <v>14</v>
      </c>
      <c r="C9" s="3" t="s">
        <v>75</v>
      </c>
      <c r="D9" s="66" t="s">
        <v>13</v>
      </c>
      <c r="E9" s="5">
        <f>E7</f>
        <v>42.27</v>
      </c>
    </row>
    <row r="10" spans="1:5" x14ac:dyDescent="0.25">
      <c r="A10" s="66" t="s">
        <v>31</v>
      </c>
      <c r="B10" s="66" t="s">
        <v>281</v>
      </c>
      <c r="C10" s="3" t="s">
        <v>194</v>
      </c>
      <c r="D10" s="66" t="s">
        <v>195</v>
      </c>
      <c r="E10" s="5">
        <f>7.04+4.12+9+14.33+22.33</f>
        <v>56.82</v>
      </c>
    </row>
    <row r="11" spans="1:5" ht="45" x14ac:dyDescent="0.25">
      <c r="A11" s="66" t="s">
        <v>35</v>
      </c>
      <c r="B11" s="66" t="s">
        <v>14</v>
      </c>
      <c r="C11" s="3" t="s">
        <v>149</v>
      </c>
      <c r="D11" s="66" t="s">
        <v>21</v>
      </c>
      <c r="E11" s="5">
        <f>E9*0.15</f>
        <v>6.3405000000000005</v>
      </c>
    </row>
    <row r="12" spans="1:5" x14ac:dyDescent="0.25">
      <c r="A12" s="87" t="s">
        <v>17</v>
      </c>
      <c r="B12" s="87"/>
      <c r="C12" s="87"/>
      <c r="D12" s="87"/>
      <c r="E12" s="87"/>
    </row>
    <row r="13" spans="1:5" x14ac:dyDescent="0.25">
      <c r="A13" s="2" t="s">
        <v>18</v>
      </c>
      <c r="B13" s="2"/>
      <c r="C13" s="87" t="s">
        <v>19</v>
      </c>
      <c r="D13" s="87"/>
      <c r="E13" s="87"/>
    </row>
    <row r="14" spans="1:5" x14ac:dyDescent="0.25">
      <c r="A14" s="66"/>
      <c r="B14" s="66" t="s">
        <v>20</v>
      </c>
      <c r="C14" s="3" t="s">
        <v>60</v>
      </c>
      <c r="D14" s="66"/>
      <c r="E14" s="7"/>
    </row>
    <row r="15" spans="1:5" ht="30" x14ac:dyDescent="0.25">
      <c r="A15" s="66" t="s">
        <v>157</v>
      </c>
      <c r="B15" s="66"/>
      <c r="C15" s="8" t="s">
        <v>61</v>
      </c>
      <c r="D15" s="66" t="s">
        <v>62</v>
      </c>
      <c r="E15" s="5">
        <v>25.4</v>
      </c>
    </row>
    <row r="16" spans="1:5" x14ac:dyDescent="0.25">
      <c r="A16" s="66"/>
      <c r="B16" s="66" t="s">
        <v>22</v>
      </c>
      <c r="C16" s="3" t="s">
        <v>63</v>
      </c>
      <c r="D16" s="66"/>
      <c r="E16" s="5"/>
    </row>
    <row r="17" spans="1:5" ht="30" x14ac:dyDescent="0.25">
      <c r="A17" s="66" t="s">
        <v>18</v>
      </c>
      <c r="B17" s="66"/>
      <c r="C17" s="8" t="s">
        <v>64</v>
      </c>
      <c r="D17" s="9" t="s">
        <v>62</v>
      </c>
      <c r="E17" s="5">
        <v>208.85</v>
      </c>
    </row>
    <row r="18" spans="1:5" x14ac:dyDescent="0.25">
      <c r="A18" s="87" t="s">
        <v>23</v>
      </c>
      <c r="B18" s="87"/>
      <c r="C18" s="87"/>
      <c r="D18" s="87"/>
      <c r="E18" s="87"/>
    </row>
    <row r="19" spans="1:5" x14ac:dyDescent="0.25">
      <c r="A19" s="2" t="s">
        <v>27</v>
      </c>
      <c r="B19" s="2"/>
      <c r="C19" s="87" t="s">
        <v>28</v>
      </c>
      <c r="D19" s="87"/>
      <c r="E19" s="87"/>
    </row>
    <row r="20" spans="1:5" ht="45" x14ac:dyDescent="0.25">
      <c r="A20" s="66" t="s">
        <v>157</v>
      </c>
      <c r="B20" s="66" t="s">
        <v>65</v>
      </c>
      <c r="C20" s="8" t="s">
        <v>67</v>
      </c>
      <c r="D20" s="5" t="s">
        <v>66</v>
      </c>
      <c r="E20" s="32">
        <f>E27</f>
        <v>296</v>
      </c>
    </row>
    <row r="21" spans="1:5" ht="45" x14ac:dyDescent="0.25">
      <c r="A21" s="66" t="s">
        <v>18</v>
      </c>
      <c r="B21" s="66" t="s">
        <v>65</v>
      </c>
      <c r="C21" s="8" t="s">
        <v>69</v>
      </c>
      <c r="D21" s="5" t="s">
        <v>66</v>
      </c>
      <c r="E21" s="32">
        <f>E27</f>
        <v>296</v>
      </c>
    </row>
    <row r="22" spans="1:5" ht="30" x14ac:dyDescent="0.25">
      <c r="A22" s="66" t="s">
        <v>24</v>
      </c>
      <c r="B22" s="66" t="s">
        <v>29</v>
      </c>
      <c r="C22" s="3" t="s">
        <v>319</v>
      </c>
      <c r="D22" s="66" t="s">
        <v>13</v>
      </c>
      <c r="E22" s="32">
        <f>+E27+E52</f>
        <v>314.11</v>
      </c>
    </row>
    <row r="23" spans="1:5" ht="30" x14ac:dyDescent="0.25">
      <c r="A23" s="66" t="s">
        <v>27</v>
      </c>
      <c r="B23" s="66" t="s">
        <v>324</v>
      </c>
      <c r="C23" s="3" t="s">
        <v>74</v>
      </c>
      <c r="D23" s="66" t="s">
        <v>13</v>
      </c>
      <c r="E23" s="32">
        <f>E27</f>
        <v>296</v>
      </c>
    </row>
    <row r="24" spans="1:5" ht="30" x14ac:dyDescent="0.25">
      <c r="A24" s="66" t="s">
        <v>31</v>
      </c>
      <c r="B24" s="66" t="s">
        <v>316</v>
      </c>
      <c r="C24" s="3" t="s">
        <v>164</v>
      </c>
      <c r="D24" s="66" t="s">
        <v>13</v>
      </c>
      <c r="E24" s="32">
        <f>E27+E52</f>
        <v>314.11</v>
      </c>
    </row>
    <row r="25" spans="1:5" x14ac:dyDescent="0.25">
      <c r="A25" s="87" t="s">
        <v>30</v>
      </c>
      <c r="B25" s="87"/>
      <c r="C25" s="87"/>
      <c r="D25" s="87"/>
      <c r="E25" s="87"/>
    </row>
    <row r="26" spans="1:5" x14ac:dyDescent="0.25">
      <c r="A26" s="2" t="s">
        <v>31</v>
      </c>
      <c r="B26" s="2"/>
      <c r="C26" s="87" t="s">
        <v>32</v>
      </c>
      <c r="D26" s="87"/>
      <c r="E26" s="87"/>
    </row>
    <row r="27" spans="1:5" ht="60" x14ac:dyDescent="0.25">
      <c r="A27" s="66" t="s">
        <v>157</v>
      </c>
      <c r="B27" s="66" t="s">
        <v>325</v>
      </c>
      <c r="C27" s="3" t="s">
        <v>132</v>
      </c>
      <c r="D27" s="66" t="s">
        <v>13</v>
      </c>
      <c r="E27" s="5">
        <f>E6*2*1000</f>
        <v>296</v>
      </c>
    </row>
    <row r="28" spans="1:5" ht="30" x14ac:dyDescent="0.25">
      <c r="A28" s="66" t="s">
        <v>18</v>
      </c>
      <c r="B28" s="66" t="s">
        <v>325</v>
      </c>
      <c r="C28" s="3" t="s">
        <v>73</v>
      </c>
      <c r="D28" s="66" t="s">
        <v>51</v>
      </c>
      <c r="E28" s="5">
        <f>296*0.05*1.03</f>
        <v>15.244000000000002</v>
      </c>
    </row>
    <row r="29" spans="1:5" x14ac:dyDescent="0.25">
      <c r="A29" s="87" t="s">
        <v>34</v>
      </c>
      <c r="B29" s="87"/>
      <c r="C29" s="87"/>
      <c r="D29" s="87"/>
      <c r="E29" s="87"/>
    </row>
    <row r="30" spans="1:5" x14ac:dyDescent="0.25">
      <c r="A30" s="2" t="s">
        <v>35</v>
      </c>
      <c r="B30" s="2"/>
      <c r="C30" s="87" t="s">
        <v>70</v>
      </c>
      <c r="D30" s="87"/>
      <c r="E30" s="87"/>
    </row>
    <row r="31" spans="1:5" ht="30" x14ac:dyDescent="0.25">
      <c r="A31" s="66" t="s">
        <v>157</v>
      </c>
      <c r="B31" s="66" t="s">
        <v>326</v>
      </c>
      <c r="C31" s="3" t="s">
        <v>191</v>
      </c>
      <c r="D31" s="66" t="s">
        <v>13</v>
      </c>
      <c r="E31" s="5">
        <v>192</v>
      </c>
    </row>
    <row r="32" spans="1:5" ht="17.25" x14ac:dyDescent="0.25">
      <c r="A32" s="66" t="s">
        <v>18</v>
      </c>
      <c r="B32" s="66" t="s">
        <v>318</v>
      </c>
      <c r="C32" s="3" t="s">
        <v>71</v>
      </c>
      <c r="D32" s="66" t="s">
        <v>13</v>
      </c>
      <c r="E32" s="5">
        <f>E27</f>
        <v>296</v>
      </c>
    </row>
    <row r="33" spans="1:5" ht="17.25" x14ac:dyDescent="0.25">
      <c r="A33" s="66" t="s">
        <v>24</v>
      </c>
      <c r="B33" s="66" t="s">
        <v>151</v>
      </c>
      <c r="C33" s="3" t="s">
        <v>152</v>
      </c>
      <c r="D33" s="66" t="s">
        <v>13</v>
      </c>
      <c r="E33" s="32">
        <f>0.5*2*(E6)*1000</f>
        <v>148</v>
      </c>
    </row>
    <row r="34" spans="1:5" x14ac:dyDescent="0.25">
      <c r="A34" s="87" t="s">
        <v>72</v>
      </c>
      <c r="B34" s="87"/>
      <c r="C34" s="87"/>
      <c r="D34" s="87"/>
      <c r="E34" s="87"/>
    </row>
    <row r="35" spans="1:5" x14ac:dyDescent="0.25">
      <c r="A35" s="2" t="s">
        <v>42</v>
      </c>
      <c r="B35" s="2"/>
      <c r="C35" s="87" t="s">
        <v>36</v>
      </c>
      <c r="D35" s="87"/>
      <c r="E35" s="87"/>
    </row>
    <row r="36" spans="1:5" x14ac:dyDescent="0.25">
      <c r="A36" s="2"/>
      <c r="B36" s="2"/>
      <c r="C36" s="87" t="s">
        <v>39</v>
      </c>
      <c r="D36" s="87"/>
      <c r="E36" s="87"/>
    </row>
    <row r="37" spans="1:5" x14ac:dyDescent="0.25">
      <c r="A37" s="66"/>
      <c r="B37" s="66" t="s">
        <v>40</v>
      </c>
      <c r="C37" s="35" t="s">
        <v>163</v>
      </c>
      <c r="D37" s="62"/>
      <c r="E37" s="5"/>
    </row>
    <row r="38" spans="1:5" x14ac:dyDescent="0.25">
      <c r="A38" s="66" t="s">
        <v>157</v>
      </c>
      <c r="B38" s="66"/>
      <c r="C38" s="35" t="s">
        <v>196</v>
      </c>
      <c r="D38" s="66" t="s">
        <v>12</v>
      </c>
      <c r="E38" s="66" t="s">
        <v>18</v>
      </c>
    </row>
    <row r="39" spans="1:5" x14ac:dyDescent="0.25">
      <c r="A39" s="66" t="s">
        <v>18</v>
      </c>
      <c r="B39" s="66"/>
      <c r="C39" s="35" t="s">
        <v>229</v>
      </c>
      <c r="D39" s="66" t="s">
        <v>12</v>
      </c>
      <c r="E39" s="66" t="s">
        <v>157</v>
      </c>
    </row>
    <row r="40" spans="1:5" x14ac:dyDescent="0.25">
      <c r="A40" s="66" t="s">
        <v>24</v>
      </c>
      <c r="B40" s="66"/>
      <c r="C40" s="35" t="s">
        <v>230</v>
      </c>
      <c r="D40" s="66" t="s">
        <v>12</v>
      </c>
      <c r="E40" s="66" t="s">
        <v>157</v>
      </c>
    </row>
    <row r="41" spans="1:5" x14ac:dyDescent="0.25">
      <c r="A41" s="66" t="s">
        <v>27</v>
      </c>
      <c r="B41" s="66"/>
      <c r="C41" s="34" t="s">
        <v>206</v>
      </c>
      <c r="D41" s="66" t="s">
        <v>12</v>
      </c>
      <c r="E41" s="66">
        <v>1</v>
      </c>
    </row>
    <row r="42" spans="1:5" x14ac:dyDescent="0.25">
      <c r="A42" s="66" t="s">
        <v>31</v>
      </c>
      <c r="B42" s="64"/>
      <c r="C42" s="34" t="s">
        <v>212</v>
      </c>
      <c r="D42" s="66" t="s">
        <v>12</v>
      </c>
      <c r="E42" s="66" t="s">
        <v>31</v>
      </c>
    </row>
    <row r="43" spans="1:5" x14ac:dyDescent="0.25">
      <c r="A43" s="66"/>
      <c r="B43" s="2"/>
      <c r="C43" s="87" t="s">
        <v>37</v>
      </c>
      <c r="D43" s="87"/>
      <c r="E43" s="87"/>
    </row>
    <row r="44" spans="1:5" x14ac:dyDescent="0.25">
      <c r="A44" s="66"/>
      <c r="B44" s="66" t="s">
        <v>38</v>
      </c>
      <c r="C44" s="35" t="s">
        <v>163</v>
      </c>
      <c r="D44" s="62"/>
      <c r="E44" s="5"/>
    </row>
    <row r="45" spans="1:5" x14ac:dyDescent="0.25">
      <c r="A45" s="66" t="s">
        <v>157</v>
      </c>
      <c r="B45" s="66"/>
      <c r="C45" s="35" t="s">
        <v>221</v>
      </c>
      <c r="D45" s="66" t="s">
        <v>12</v>
      </c>
      <c r="E45" s="66" t="s">
        <v>157</v>
      </c>
    </row>
    <row r="46" spans="1:5" x14ac:dyDescent="0.25">
      <c r="A46" s="66" t="s">
        <v>18</v>
      </c>
      <c r="B46" s="66"/>
      <c r="C46" s="35" t="s">
        <v>231</v>
      </c>
      <c r="D46" s="66" t="s">
        <v>12</v>
      </c>
      <c r="E46" s="66" t="s">
        <v>157</v>
      </c>
    </row>
    <row r="47" spans="1:5" x14ac:dyDescent="0.25">
      <c r="A47" s="66" t="s">
        <v>24</v>
      </c>
      <c r="B47" s="64"/>
      <c r="C47" s="35" t="s">
        <v>208</v>
      </c>
      <c r="D47" s="66" t="s">
        <v>12</v>
      </c>
      <c r="E47" s="66" t="s">
        <v>157</v>
      </c>
    </row>
    <row r="48" spans="1:5" x14ac:dyDescent="0.25">
      <c r="A48" s="66" t="s">
        <v>27</v>
      </c>
      <c r="B48" s="64"/>
      <c r="C48" s="35" t="s">
        <v>232</v>
      </c>
      <c r="D48" s="66" t="s">
        <v>12</v>
      </c>
      <c r="E48" s="66" t="s">
        <v>157</v>
      </c>
    </row>
    <row r="49" spans="1:5" x14ac:dyDescent="0.25">
      <c r="A49" s="66" t="s">
        <v>31</v>
      </c>
      <c r="B49" s="64"/>
      <c r="C49" s="35" t="s">
        <v>233</v>
      </c>
      <c r="D49" s="66" t="s">
        <v>12</v>
      </c>
      <c r="E49" s="66" t="s">
        <v>157</v>
      </c>
    </row>
    <row r="50" spans="1:5" x14ac:dyDescent="0.25">
      <c r="A50" s="87" t="s">
        <v>41</v>
      </c>
      <c r="B50" s="87"/>
      <c r="C50" s="87"/>
      <c r="D50" s="87"/>
      <c r="E50" s="87"/>
    </row>
    <row r="51" spans="1:5" x14ac:dyDescent="0.25">
      <c r="A51" s="2" t="s">
        <v>47</v>
      </c>
      <c r="B51" s="2"/>
      <c r="C51" s="87" t="s">
        <v>43</v>
      </c>
      <c r="D51" s="87"/>
      <c r="E51" s="87"/>
    </row>
    <row r="52" spans="1:5" ht="17.25" x14ac:dyDescent="0.25">
      <c r="A52" s="66" t="s">
        <v>157</v>
      </c>
      <c r="B52" s="66" t="s">
        <v>327</v>
      </c>
      <c r="C52" s="3" t="s">
        <v>131</v>
      </c>
      <c r="D52" s="66" t="s">
        <v>13</v>
      </c>
      <c r="E52" s="5">
        <f>18.11</f>
        <v>18.11</v>
      </c>
    </row>
    <row r="53" spans="1:5" ht="30" x14ac:dyDescent="0.25">
      <c r="A53" s="66" t="s">
        <v>18</v>
      </c>
      <c r="B53" s="66" t="s">
        <v>44</v>
      </c>
      <c r="C53" s="3" t="s">
        <v>45</v>
      </c>
      <c r="D53" s="66" t="s">
        <v>15</v>
      </c>
      <c r="E53" s="32">
        <f>E6*1000*2</f>
        <v>296</v>
      </c>
    </row>
    <row r="54" spans="1:5" x14ac:dyDescent="0.25">
      <c r="A54" s="87" t="s">
        <v>46</v>
      </c>
      <c r="B54" s="87"/>
      <c r="C54" s="87"/>
      <c r="D54" s="87"/>
      <c r="E54" s="87"/>
    </row>
    <row r="55" spans="1:5" x14ac:dyDescent="0.25">
      <c r="A55" s="2" t="s">
        <v>154</v>
      </c>
      <c r="B55" s="70"/>
      <c r="C55" s="87" t="s">
        <v>345</v>
      </c>
      <c r="D55" s="87"/>
      <c r="E55" s="87"/>
    </row>
    <row r="56" spans="1:5" x14ac:dyDescent="0.25">
      <c r="A56" s="71" t="s">
        <v>157</v>
      </c>
      <c r="B56" s="71" t="s">
        <v>346</v>
      </c>
      <c r="C56" s="35" t="s">
        <v>347</v>
      </c>
      <c r="D56" s="71" t="s">
        <v>12</v>
      </c>
      <c r="E56" s="71" t="s">
        <v>157</v>
      </c>
    </row>
    <row r="57" spans="1:5" x14ac:dyDescent="0.25">
      <c r="A57" s="87" t="s">
        <v>53</v>
      </c>
      <c r="B57" s="87"/>
      <c r="C57" s="87"/>
      <c r="D57" s="87"/>
      <c r="E57" s="87"/>
    </row>
    <row r="58" spans="1:5" x14ac:dyDescent="0.25">
      <c r="A58" s="88" t="s">
        <v>54</v>
      </c>
      <c r="B58" s="89"/>
      <c r="C58" s="89"/>
      <c r="D58" s="89"/>
      <c r="E58" s="89"/>
    </row>
    <row r="59" spans="1:5" x14ac:dyDescent="0.25">
      <c r="A59" s="90" t="s">
        <v>55</v>
      </c>
      <c r="B59" s="91"/>
      <c r="C59" s="91"/>
      <c r="D59" s="91"/>
      <c r="E59" s="91"/>
    </row>
    <row r="60" spans="1:5" x14ac:dyDescent="0.25">
      <c r="A60" s="92" t="s">
        <v>56</v>
      </c>
      <c r="B60" s="93"/>
      <c r="C60" s="93"/>
      <c r="D60" s="93"/>
      <c r="E60" s="93"/>
    </row>
  </sheetData>
  <mergeCells count="25">
    <mergeCell ref="A1:E1"/>
    <mergeCell ref="A2:E2"/>
    <mergeCell ref="C4:E4"/>
    <mergeCell ref="A5:A6"/>
    <mergeCell ref="B5:B6"/>
    <mergeCell ref="A12:E12"/>
    <mergeCell ref="C13:E13"/>
    <mergeCell ref="A18:E18"/>
    <mergeCell ref="C19:E19"/>
    <mergeCell ref="A25:E25"/>
    <mergeCell ref="A59:E59"/>
    <mergeCell ref="A60:E60"/>
    <mergeCell ref="C51:E51"/>
    <mergeCell ref="A54:E54"/>
    <mergeCell ref="C26:E26"/>
    <mergeCell ref="A29:E29"/>
    <mergeCell ref="C30:E30"/>
    <mergeCell ref="A34:E34"/>
    <mergeCell ref="A58:E58"/>
    <mergeCell ref="C35:E35"/>
    <mergeCell ref="C36:E36"/>
    <mergeCell ref="C43:E43"/>
    <mergeCell ref="A50:E50"/>
    <mergeCell ref="C55:E55"/>
    <mergeCell ref="A57:E57"/>
  </mergeCells>
  <pageMargins left="0.7" right="0.7" top="0.75" bottom="0.75" header="0.3" footer="0.3"/>
  <pageSetup paperSize="9" scale="79" orientation="portrait" r:id="rId1"/>
  <rowBreaks count="1" manualBreakCount="1">
    <brk id="3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I8" sqref="I8"/>
    </sheetView>
  </sheetViews>
  <sheetFormatPr defaultRowHeight="15" x14ac:dyDescent="0.25"/>
  <cols>
    <col min="2" max="2" width="15" customWidth="1"/>
    <col min="3" max="3" width="48.28515625" customWidth="1"/>
  </cols>
  <sheetData>
    <row r="1" spans="1:9" ht="63" customHeight="1" x14ac:dyDescent="0.25">
      <c r="A1" s="94" t="s">
        <v>178</v>
      </c>
      <c r="B1" s="94"/>
      <c r="C1" s="94"/>
      <c r="D1" s="94"/>
      <c r="E1" s="94"/>
    </row>
    <row r="2" spans="1:9" x14ac:dyDescent="0.25">
      <c r="A2" s="95" t="s">
        <v>0</v>
      </c>
      <c r="B2" s="95"/>
      <c r="C2" s="95"/>
      <c r="D2" s="95"/>
      <c r="E2" s="95"/>
    </row>
    <row r="3" spans="1:9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9" x14ac:dyDescent="0.25">
      <c r="A4" s="2">
        <v>1</v>
      </c>
      <c r="B4" s="2"/>
      <c r="C4" s="87" t="s">
        <v>8</v>
      </c>
      <c r="D4" s="87"/>
      <c r="E4" s="87"/>
    </row>
    <row r="5" spans="1:9" x14ac:dyDescent="0.25">
      <c r="A5" s="96">
        <v>1</v>
      </c>
      <c r="B5" s="97" t="s">
        <v>9</v>
      </c>
      <c r="C5" s="3" t="s">
        <v>57</v>
      </c>
      <c r="D5" s="34"/>
      <c r="E5" s="34"/>
    </row>
    <row r="6" spans="1:9" x14ac:dyDescent="0.25">
      <c r="A6" s="96"/>
      <c r="B6" s="97"/>
      <c r="C6" s="8" t="s">
        <v>185</v>
      </c>
      <c r="D6" s="66" t="s">
        <v>10</v>
      </c>
      <c r="E6" s="4">
        <f>66/1000</f>
        <v>6.6000000000000003E-2</v>
      </c>
    </row>
    <row r="7" spans="1:9" ht="17.25" x14ac:dyDescent="0.25">
      <c r="A7" s="66" t="s">
        <v>18</v>
      </c>
      <c r="B7" s="66" t="s">
        <v>14</v>
      </c>
      <c r="C7" s="3" t="s">
        <v>147</v>
      </c>
      <c r="D7" s="66" t="s">
        <v>13</v>
      </c>
      <c r="E7" s="4">
        <v>26.14</v>
      </c>
    </row>
    <row r="8" spans="1:9" ht="45" x14ac:dyDescent="0.25">
      <c r="A8" s="66" t="s">
        <v>24</v>
      </c>
      <c r="B8" s="66" t="s">
        <v>14</v>
      </c>
      <c r="C8" s="3" t="s">
        <v>148</v>
      </c>
      <c r="D8" s="66" t="s">
        <v>21</v>
      </c>
      <c r="E8" s="4">
        <f>E7*0.2</f>
        <v>5.2280000000000006</v>
      </c>
    </row>
    <row r="9" spans="1:9" x14ac:dyDescent="0.25">
      <c r="A9" s="87" t="s">
        <v>17</v>
      </c>
      <c r="B9" s="87"/>
      <c r="C9" s="87"/>
      <c r="D9" s="87"/>
      <c r="E9" s="87"/>
    </row>
    <row r="10" spans="1:9" x14ac:dyDescent="0.25">
      <c r="A10" s="2" t="s">
        <v>18</v>
      </c>
      <c r="B10" s="2"/>
      <c r="C10" s="87" t="s">
        <v>19</v>
      </c>
      <c r="D10" s="87"/>
      <c r="E10" s="87"/>
    </row>
    <row r="11" spans="1:9" x14ac:dyDescent="0.25">
      <c r="A11" s="66"/>
      <c r="B11" s="66" t="s">
        <v>20</v>
      </c>
      <c r="C11" s="3" t="s">
        <v>60</v>
      </c>
      <c r="D11" s="66"/>
      <c r="E11" s="7"/>
    </row>
    <row r="12" spans="1:9" ht="30" x14ac:dyDescent="0.25">
      <c r="A12" s="66" t="s">
        <v>157</v>
      </c>
      <c r="B12" s="66"/>
      <c r="C12" s="8" t="s">
        <v>61</v>
      </c>
      <c r="D12" s="66" t="s">
        <v>62</v>
      </c>
      <c r="E12" s="5">
        <v>23.2</v>
      </c>
    </row>
    <row r="13" spans="1:9" x14ac:dyDescent="0.25">
      <c r="A13" s="66"/>
      <c r="B13" s="66" t="s">
        <v>22</v>
      </c>
      <c r="C13" s="3" t="s">
        <v>63</v>
      </c>
      <c r="D13" s="66"/>
      <c r="E13" s="5"/>
    </row>
    <row r="14" spans="1:9" ht="30" x14ac:dyDescent="0.25">
      <c r="A14" s="66" t="s">
        <v>18</v>
      </c>
      <c r="B14" s="66"/>
      <c r="C14" s="8" t="s">
        <v>64</v>
      </c>
      <c r="D14" s="66" t="s">
        <v>62</v>
      </c>
      <c r="E14" s="5">
        <v>15.2</v>
      </c>
      <c r="I14" t="s">
        <v>108</v>
      </c>
    </row>
    <row r="15" spans="1:9" x14ac:dyDescent="0.25">
      <c r="A15" s="87" t="s">
        <v>23</v>
      </c>
      <c r="B15" s="87"/>
      <c r="C15" s="87"/>
      <c r="D15" s="87"/>
      <c r="E15" s="87"/>
    </row>
    <row r="16" spans="1:9" x14ac:dyDescent="0.25">
      <c r="A16" s="2" t="s">
        <v>27</v>
      </c>
      <c r="B16" s="2"/>
      <c r="C16" s="87" t="s">
        <v>28</v>
      </c>
      <c r="D16" s="87"/>
      <c r="E16" s="87"/>
    </row>
    <row r="17" spans="1:5" ht="45" x14ac:dyDescent="0.25">
      <c r="A17" s="66" t="s">
        <v>157</v>
      </c>
      <c r="B17" s="66" t="s">
        <v>65</v>
      </c>
      <c r="C17" s="8" t="s">
        <v>67</v>
      </c>
      <c r="D17" s="5" t="s">
        <v>66</v>
      </c>
      <c r="E17" s="32">
        <f>E24+E25</f>
        <v>118.85</v>
      </c>
    </row>
    <row r="18" spans="1:5" ht="45" x14ac:dyDescent="0.25">
      <c r="A18" s="66" t="s">
        <v>24</v>
      </c>
      <c r="B18" s="66" t="s">
        <v>65</v>
      </c>
      <c r="C18" s="8" t="s">
        <v>69</v>
      </c>
      <c r="D18" s="5" t="s">
        <v>66</v>
      </c>
      <c r="E18" s="32">
        <f>E24+E25</f>
        <v>118.85</v>
      </c>
    </row>
    <row r="19" spans="1:5" ht="30" x14ac:dyDescent="0.25">
      <c r="A19" s="66" t="s">
        <v>27</v>
      </c>
      <c r="B19" s="66" t="s">
        <v>29</v>
      </c>
      <c r="C19" s="3" t="s">
        <v>319</v>
      </c>
      <c r="D19" s="66" t="s">
        <v>13</v>
      </c>
      <c r="E19" s="32">
        <f>E24+E25</f>
        <v>118.85</v>
      </c>
    </row>
    <row r="20" spans="1:5" ht="30" x14ac:dyDescent="0.25">
      <c r="A20" s="66" t="s">
        <v>31</v>
      </c>
      <c r="B20" s="66" t="s">
        <v>324</v>
      </c>
      <c r="C20" s="3" t="s">
        <v>74</v>
      </c>
      <c r="D20" s="66" t="s">
        <v>13</v>
      </c>
      <c r="E20" s="32">
        <f>E24+E25</f>
        <v>118.85</v>
      </c>
    </row>
    <row r="21" spans="1:5" ht="30" x14ac:dyDescent="0.25">
      <c r="A21" s="66" t="s">
        <v>35</v>
      </c>
      <c r="B21" s="66" t="s">
        <v>316</v>
      </c>
      <c r="C21" s="3" t="s">
        <v>164</v>
      </c>
      <c r="D21" s="66" t="s">
        <v>13</v>
      </c>
      <c r="E21" s="32">
        <f>E24+E25</f>
        <v>118.85</v>
      </c>
    </row>
    <row r="22" spans="1:5" x14ac:dyDescent="0.25">
      <c r="A22" s="87" t="s">
        <v>30</v>
      </c>
      <c r="B22" s="87"/>
      <c r="C22" s="87"/>
      <c r="D22" s="87"/>
      <c r="E22" s="87"/>
    </row>
    <row r="23" spans="1:5" x14ac:dyDescent="0.25">
      <c r="A23" s="2" t="s">
        <v>31</v>
      </c>
      <c r="B23" s="2"/>
      <c r="C23" s="87" t="s">
        <v>32</v>
      </c>
      <c r="D23" s="87"/>
      <c r="E23" s="87"/>
    </row>
    <row r="24" spans="1:5" ht="60" x14ac:dyDescent="0.25">
      <c r="A24" s="66" t="s">
        <v>157</v>
      </c>
      <c r="B24" s="66" t="s">
        <v>325</v>
      </c>
      <c r="C24" s="3" t="s">
        <v>192</v>
      </c>
      <c r="D24" s="66" t="s">
        <v>13</v>
      </c>
      <c r="E24" s="5">
        <f>(E6-0.02)*1000*2</f>
        <v>92</v>
      </c>
    </row>
    <row r="25" spans="1:5" ht="60" x14ac:dyDescent="0.25">
      <c r="A25" s="66" t="s">
        <v>18</v>
      </c>
      <c r="B25" s="66" t="s">
        <v>325</v>
      </c>
      <c r="C25" s="3" t="s">
        <v>134</v>
      </c>
      <c r="D25" s="66" t="s">
        <v>13</v>
      </c>
      <c r="E25" s="5">
        <v>26.85</v>
      </c>
    </row>
    <row r="26" spans="1:5" ht="30" x14ac:dyDescent="0.25">
      <c r="A26" s="66" t="s">
        <v>24</v>
      </c>
      <c r="B26" s="66" t="s">
        <v>325</v>
      </c>
      <c r="C26" s="3" t="s">
        <v>73</v>
      </c>
      <c r="D26" s="66" t="s">
        <v>51</v>
      </c>
      <c r="E26" s="5">
        <f>(E24+E25)*0.05*1.03</f>
        <v>6.1207750000000001</v>
      </c>
    </row>
    <row r="27" spans="1:5" x14ac:dyDescent="0.25">
      <c r="A27" s="87" t="s">
        <v>34</v>
      </c>
      <c r="B27" s="87"/>
      <c r="C27" s="87"/>
      <c r="D27" s="87"/>
      <c r="E27" s="87"/>
    </row>
    <row r="28" spans="1:5" x14ac:dyDescent="0.25">
      <c r="A28" s="2" t="s">
        <v>35</v>
      </c>
      <c r="B28" s="2"/>
      <c r="C28" s="87" t="s">
        <v>70</v>
      </c>
      <c r="D28" s="87"/>
      <c r="E28" s="87"/>
    </row>
    <row r="29" spans="1:5" ht="17.25" x14ac:dyDescent="0.25">
      <c r="A29" s="66" t="s">
        <v>157</v>
      </c>
      <c r="B29" s="66" t="s">
        <v>318</v>
      </c>
      <c r="C29" s="3" t="s">
        <v>71</v>
      </c>
      <c r="D29" s="66" t="s">
        <v>13</v>
      </c>
      <c r="E29" s="5">
        <f>E24+E25</f>
        <v>118.85</v>
      </c>
    </row>
    <row r="30" spans="1:5" ht="17.25" x14ac:dyDescent="0.25">
      <c r="A30" s="66" t="s">
        <v>18</v>
      </c>
      <c r="B30" s="66" t="s">
        <v>151</v>
      </c>
      <c r="C30" s="3" t="s">
        <v>152</v>
      </c>
      <c r="D30" s="66" t="s">
        <v>13</v>
      </c>
      <c r="E30" s="32">
        <f>(E6-0.02)*2*0.5*1000</f>
        <v>46</v>
      </c>
    </row>
    <row r="31" spans="1:5" x14ac:dyDescent="0.25">
      <c r="A31" s="87" t="s">
        <v>72</v>
      </c>
      <c r="B31" s="87"/>
      <c r="C31" s="87"/>
      <c r="D31" s="87"/>
      <c r="E31" s="87"/>
    </row>
    <row r="32" spans="1:5" x14ac:dyDescent="0.25">
      <c r="A32" s="2" t="s">
        <v>42</v>
      </c>
      <c r="B32" s="2"/>
      <c r="C32" s="87" t="s">
        <v>36</v>
      </c>
      <c r="D32" s="87"/>
      <c r="E32" s="87"/>
    </row>
    <row r="33" spans="1:5" x14ac:dyDescent="0.25">
      <c r="A33" s="2"/>
      <c r="B33" s="2"/>
      <c r="C33" s="87" t="s">
        <v>39</v>
      </c>
      <c r="D33" s="87"/>
      <c r="E33" s="87"/>
    </row>
    <row r="34" spans="1:5" x14ac:dyDescent="0.25">
      <c r="A34" s="66"/>
      <c r="B34" s="66" t="s">
        <v>40</v>
      </c>
      <c r="C34" s="35" t="s">
        <v>163</v>
      </c>
      <c r="D34" s="62"/>
      <c r="E34" s="5"/>
    </row>
    <row r="35" spans="1:5" x14ac:dyDescent="0.25">
      <c r="A35" s="66" t="s">
        <v>157</v>
      </c>
      <c r="B35" s="64"/>
      <c r="C35" s="35" t="s">
        <v>205</v>
      </c>
      <c r="D35" s="66" t="s">
        <v>12</v>
      </c>
      <c r="E35" s="66" t="s">
        <v>157</v>
      </c>
    </row>
    <row r="36" spans="1:5" x14ac:dyDescent="0.25">
      <c r="A36" s="66" t="s">
        <v>18</v>
      </c>
      <c r="B36" s="64"/>
      <c r="C36" s="35" t="s">
        <v>234</v>
      </c>
      <c r="D36" s="66" t="s">
        <v>12</v>
      </c>
      <c r="E36" s="66" t="s">
        <v>157</v>
      </c>
    </row>
    <row r="37" spans="1:5" x14ac:dyDescent="0.25">
      <c r="A37" s="66" t="s">
        <v>24</v>
      </c>
      <c r="B37" s="64"/>
      <c r="C37" s="35" t="s">
        <v>235</v>
      </c>
      <c r="D37" s="66" t="s">
        <v>12</v>
      </c>
      <c r="E37" s="66" t="s">
        <v>157</v>
      </c>
    </row>
    <row r="38" spans="1:5" x14ac:dyDescent="0.25">
      <c r="A38" s="66" t="s">
        <v>27</v>
      </c>
      <c r="B38" s="64"/>
      <c r="C38" s="35" t="s">
        <v>236</v>
      </c>
      <c r="D38" s="66" t="s">
        <v>12</v>
      </c>
      <c r="E38" s="66" t="s">
        <v>157</v>
      </c>
    </row>
    <row r="39" spans="1:5" x14ac:dyDescent="0.25">
      <c r="A39" s="66" t="s">
        <v>31</v>
      </c>
      <c r="B39" s="64"/>
      <c r="C39" s="35" t="s">
        <v>237</v>
      </c>
      <c r="D39" s="66" t="s">
        <v>12</v>
      </c>
      <c r="E39" s="66" t="s">
        <v>157</v>
      </c>
    </row>
    <row r="40" spans="1:5" x14ac:dyDescent="0.25">
      <c r="A40" s="66" t="s">
        <v>35</v>
      </c>
      <c r="B40" s="64"/>
      <c r="C40" s="35" t="s">
        <v>212</v>
      </c>
      <c r="D40" s="66" t="s">
        <v>12</v>
      </c>
      <c r="E40" s="66" t="s">
        <v>24</v>
      </c>
    </row>
    <row r="41" spans="1:5" x14ac:dyDescent="0.25">
      <c r="A41" s="87" t="s">
        <v>41</v>
      </c>
      <c r="B41" s="87"/>
      <c r="C41" s="87"/>
      <c r="D41" s="87"/>
      <c r="E41" s="87"/>
    </row>
    <row r="42" spans="1:5" x14ac:dyDescent="0.25">
      <c r="A42" s="2" t="s">
        <v>47</v>
      </c>
      <c r="B42" s="2"/>
      <c r="C42" s="87" t="s">
        <v>43</v>
      </c>
      <c r="D42" s="87"/>
      <c r="E42" s="87"/>
    </row>
    <row r="43" spans="1:5" ht="45" x14ac:dyDescent="0.25">
      <c r="A43" s="66" t="s">
        <v>157</v>
      </c>
      <c r="B43" s="66" t="s">
        <v>328</v>
      </c>
      <c r="C43" s="8" t="s">
        <v>143</v>
      </c>
      <c r="D43" s="66" t="s">
        <v>15</v>
      </c>
      <c r="E43" s="5">
        <v>7</v>
      </c>
    </row>
    <row r="44" spans="1:5" ht="30" x14ac:dyDescent="0.25">
      <c r="A44" s="66" t="s">
        <v>18</v>
      </c>
      <c r="B44" s="66" t="s">
        <v>44</v>
      </c>
      <c r="C44" s="3" t="s">
        <v>45</v>
      </c>
      <c r="D44" s="66" t="s">
        <v>15</v>
      </c>
      <c r="E44" s="32">
        <f>(E6-0.02)*1000</f>
        <v>46</v>
      </c>
    </row>
    <row r="45" spans="1:5" x14ac:dyDescent="0.25">
      <c r="A45" s="87" t="s">
        <v>46</v>
      </c>
      <c r="B45" s="87"/>
      <c r="C45" s="87"/>
      <c r="D45" s="87"/>
      <c r="E45" s="87"/>
    </row>
    <row r="46" spans="1:5" x14ac:dyDescent="0.25">
      <c r="A46" s="2" t="s">
        <v>154</v>
      </c>
      <c r="B46" s="2"/>
      <c r="C46" s="87" t="s">
        <v>155</v>
      </c>
      <c r="D46" s="87"/>
      <c r="E46" s="87"/>
    </row>
    <row r="47" spans="1:5" ht="75" x14ac:dyDescent="0.25">
      <c r="A47" s="66" t="s">
        <v>157</v>
      </c>
      <c r="B47" s="64"/>
      <c r="C47" s="3" t="s">
        <v>156</v>
      </c>
      <c r="D47" s="66" t="s">
        <v>12</v>
      </c>
      <c r="E47" s="7" t="s">
        <v>157</v>
      </c>
    </row>
    <row r="48" spans="1:5" x14ac:dyDescent="0.25">
      <c r="A48" s="87" t="s">
        <v>158</v>
      </c>
      <c r="B48" s="87"/>
      <c r="C48" s="87"/>
      <c r="D48" s="87"/>
      <c r="E48" s="87"/>
    </row>
    <row r="49" spans="1:5" x14ac:dyDescent="0.25">
      <c r="A49" s="88" t="s">
        <v>54</v>
      </c>
      <c r="B49" s="89"/>
      <c r="C49" s="89"/>
      <c r="D49" s="89"/>
      <c r="E49" s="89"/>
    </row>
    <row r="50" spans="1:5" x14ac:dyDescent="0.25">
      <c r="A50" s="90" t="s">
        <v>55</v>
      </c>
      <c r="B50" s="91"/>
      <c r="C50" s="91"/>
      <c r="D50" s="91"/>
      <c r="E50" s="91"/>
    </row>
    <row r="51" spans="1:5" x14ac:dyDescent="0.25">
      <c r="A51" s="92" t="s">
        <v>56</v>
      </c>
      <c r="B51" s="93"/>
      <c r="C51" s="93"/>
      <c r="D51" s="93"/>
      <c r="E51" s="93"/>
    </row>
  </sheetData>
  <mergeCells count="24">
    <mergeCell ref="A9:E9"/>
    <mergeCell ref="C10:E10"/>
    <mergeCell ref="A15:E15"/>
    <mergeCell ref="C16:E16"/>
    <mergeCell ref="A1:E1"/>
    <mergeCell ref="A2:E2"/>
    <mergeCell ref="C4:E4"/>
    <mergeCell ref="A5:A6"/>
    <mergeCell ref="B5:B6"/>
    <mergeCell ref="C42:E42"/>
    <mergeCell ref="A22:E22"/>
    <mergeCell ref="C23:E23"/>
    <mergeCell ref="A27:E27"/>
    <mergeCell ref="C28:E28"/>
    <mergeCell ref="A31:E31"/>
    <mergeCell ref="C32:E32"/>
    <mergeCell ref="C33:E33"/>
    <mergeCell ref="A41:E41"/>
    <mergeCell ref="A45:E45"/>
    <mergeCell ref="A49:E49"/>
    <mergeCell ref="A50:E50"/>
    <mergeCell ref="A51:E51"/>
    <mergeCell ref="C46:E46"/>
    <mergeCell ref="A48:E48"/>
  </mergeCells>
  <pageMargins left="0.7" right="0.7" top="0.75" bottom="0.75" header="0.3" footer="0.3"/>
  <pageSetup paperSize="9" scale="72" orientation="portrait" r:id="rId1"/>
  <rowBreaks count="1" manualBreakCount="1">
    <brk id="41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Normal="100" workbookViewId="0">
      <selection activeCell="H4" sqref="H4"/>
    </sheetView>
  </sheetViews>
  <sheetFormatPr defaultRowHeight="15" x14ac:dyDescent="0.25"/>
  <cols>
    <col min="2" max="2" width="14.140625" customWidth="1"/>
    <col min="3" max="3" width="49.28515625" customWidth="1"/>
  </cols>
  <sheetData>
    <row r="1" spans="1:5" ht="67.5" customHeight="1" x14ac:dyDescent="0.25">
      <c r="A1" s="94" t="s">
        <v>179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430/1000</f>
        <v>0.43</v>
      </c>
    </row>
    <row r="7" spans="1:5" x14ac:dyDescent="0.25">
      <c r="A7" s="66"/>
      <c r="B7" s="66" t="s">
        <v>11</v>
      </c>
      <c r="C7" s="3" t="s">
        <v>58</v>
      </c>
      <c r="D7" s="66"/>
      <c r="E7" s="6"/>
    </row>
    <row r="8" spans="1:5" ht="30" x14ac:dyDescent="0.25">
      <c r="A8" s="66" t="s">
        <v>18</v>
      </c>
      <c r="B8" s="66"/>
      <c r="C8" s="3" t="s">
        <v>126</v>
      </c>
      <c r="D8" s="29" t="s">
        <v>12</v>
      </c>
      <c r="E8" s="6">
        <f>wycinka!L16+wycinka!L24</f>
        <v>2</v>
      </c>
    </row>
    <row r="9" spans="1:5" ht="17.25" x14ac:dyDescent="0.25">
      <c r="A9" s="66" t="s">
        <v>24</v>
      </c>
      <c r="B9" s="66" t="s">
        <v>14</v>
      </c>
      <c r="C9" s="3" t="s">
        <v>147</v>
      </c>
      <c r="D9" s="66" t="s">
        <v>13</v>
      </c>
      <c r="E9" s="4">
        <f>26.23+26.57+26.69+30.92+34.61</f>
        <v>145.01999999999998</v>
      </c>
    </row>
    <row r="10" spans="1:5" ht="45" x14ac:dyDescent="0.25">
      <c r="A10" s="66" t="s">
        <v>27</v>
      </c>
      <c r="B10" s="66" t="s">
        <v>14</v>
      </c>
      <c r="C10" s="3" t="s">
        <v>148</v>
      </c>
      <c r="D10" s="66" t="s">
        <v>21</v>
      </c>
      <c r="E10" s="4">
        <f>E9*0.2</f>
        <v>29.003999999999998</v>
      </c>
    </row>
    <row r="11" spans="1:5" x14ac:dyDescent="0.25">
      <c r="A11" s="87" t="s">
        <v>17</v>
      </c>
      <c r="B11" s="87"/>
      <c r="C11" s="87"/>
      <c r="D11" s="87"/>
      <c r="E11" s="87"/>
    </row>
    <row r="12" spans="1:5" x14ac:dyDescent="0.25">
      <c r="A12" s="2" t="s">
        <v>18</v>
      </c>
      <c r="B12" s="2"/>
      <c r="C12" s="87" t="s">
        <v>19</v>
      </c>
      <c r="D12" s="87"/>
      <c r="E12" s="87"/>
    </row>
    <row r="13" spans="1:5" x14ac:dyDescent="0.25">
      <c r="A13" s="66"/>
      <c r="B13" s="66" t="s">
        <v>20</v>
      </c>
      <c r="C13" s="3" t="s">
        <v>60</v>
      </c>
      <c r="D13" s="66"/>
      <c r="E13" s="7"/>
    </row>
    <row r="14" spans="1:5" ht="30" x14ac:dyDescent="0.25">
      <c r="A14" s="66" t="s">
        <v>157</v>
      </c>
      <c r="B14" s="66"/>
      <c r="C14" s="8" t="s">
        <v>61</v>
      </c>
      <c r="D14" s="66" t="s">
        <v>62</v>
      </c>
      <c r="E14" s="5">
        <v>394.9</v>
      </c>
    </row>
    <row r="15" spans="1:5" x14ac:dyDescent="0.25">
      <c r="A15" s="66"/>
      <c r="B15" s="66" t="s">
        <v>22</v>
      </c>
      <c r="C15" s="3" t="s">
        <v>63</v>
      </c>
      <c r="D15" s="66"/>
      <c r="E15" s="5"/>
    </row>
    <row r="16" spans="1:5" ht="30" x14ac:dyDescent="0.25">
      <c r="A16" s="66" t="s">
        <v>18</v>
      </c>
      <c r="B16" s="66"/>
      <c r="C16" s="8" t="s">
        <v>64</v>
      </c>
      <c r="D16" s="9" t="s">
        <v>62</v>
      </c>
      <c r="E16" s="5">
        <v>107</v>
      </c>
    </row>
    <row r="17" spans="1:5" x14ac:dyDescent="0.25">
      <c r="A17" s="87" t="s">
        <v>23</v>
      </c>
      <c r="B17" s="87"/>
      <c r="C17" s="87"/>
      <c r="D17" s="87"/>
      <c r="E17" s="87"/>
    </row>
    <row r="18" spans="1:5" x14ac:dyDescent="0.25">
      <c r="A18" s="2" t="s">
        <v>27</v>
      </c>
      <c r="B18" s="2"/>
      <c r="C18" s="87" t="s">
        <v>28</v>
      </c>
      <c r="D18" s="87"/>
      <c r="E18" s="87"/>
    </row>
    <row r="19" spans="1:5" ht="45" x14ac:dyDescent="0.25">
      <c r="A19" s="66" t="s">
        <v>157</v>
      </c>
      <c r="B19" s="66" t="s">
        <v>65</v>
      </c>
      <c r="C19" s="8" t="s">
        <v>67</v>
      </c>
      <c r="D19" s="5" t="s">
        <v>66</v>
      </c>
      <c r="E19" s="32">
        <f>E26+E27</f>
        <v>955</v>
      </c>
    </row>
    <row r="20" spans="1:5" ht="45" x14ac:dyDescent="0.25">
      <c r="A20" s="66" t="s">
        <v>24</v>
      </c>
      <c r="B20" s="66" t="s">
        <v>65</v>
      </c>
      <c r="C20" s="8" t="s">
        <v>69</v>
      </c>
      <c r="D20" s="5" t="s">
        <v>66</v>
      </c>
      <c r="E20" s="32">
        <f>E26+E27</f>
        <v>955</v>
      </c>
    </row>
    <row r="21" spans="1:5" ht="30" x14ac:dyDescent="0.25">
      <c r="A21" s="66" t="s">
        <v>27</v>
      </c>
      <c r="B21" s="66" t="s">
        <v>29</v>
      </c>
      <c r="C21" s="3" t="s">
        <v>319</v>
      </c>
      <c r="D21" s="66" t="s">
        <v>13</v>
      </c>
      <c r="E21" s="32">
        <f>E26+E27</f>
        <v>955</v>
      </c>
    </row>
    <row r="22" spans="1:5" ht="30" x14ac:dyDescent="0.25">
      <c r="A22" s="66" t="s">
        <v>31</v>
      </c>
      <c r="B22" s="66" t="s">
        <v>324</v>
      </c>
      <c r="C22" s="3" t="s">
        <v>74</v>
      </c>
      <c r="D22" s="66" t="s">
        <v>13</v>
      </c>
      <c r="E22" s="32">
        <f>E26+E27</f>
        <v>955</v>
      </c>
    </row>
    <row r="23" spans="1:5" ht="30" x14ac:dyDescent="0.25">
      <c r="A23" s="66" t="s">
        <v>35</v>
      </c>
      <c r="B23" s="66" t="s">
        <v>316</v>
      </c>
      <c r="C23" s="3" t="s">
        <v>164</v>
      </c>
      <c r="D23" s="66" t="s">
        <v>13</v>
      </c>
      <c r="E23" s="32">
        <f>E26+E27</f>
        <v>955</v>
      </c>
    </row>
    <row r="24" spans="1:5" x14ac:dyDescent="0.25">
      <c r="A24" s="87" t="s">
        <v>30</v>
      </c>
      <c r="B24" s="87"/>
      <c r="C24" s="87"/>
      <c r="D24" s="87"/>
      <c r="E24" s="87"/>
    </row>
    <row r="25" spans="1:5" x14ac:dyDescent="0.25">
      <c r="A25" s="2" t="s">
        <v>31</v>
      </c>
      <c r="B25" s="2"/>
      <c r="C25" s="87" t="s">
        <v>32</v>
      </c>
      <c r="D25" s="87"/>
      <c r="E25" s="87"/>
    </row>
    <row r="26" spans="1:5" ht="45" x14ac:dyDescent="0.25">
      <c r="A26" s="66" t="s">
        <v>157</v>
      </c>
      <c r="B26" s="66" t="s">
        <v>325</v>
      </c>
      <c r="C26" s="3" t="s">
        <v>192</v>
      </c>
      <c r="D26" s="66" t="s">
        <v>13</v>
      </c>
      <c r="E26" s="5">
        <f>E6*1000*2</f>
        <v>860</v>
      </c>
    </row>
    <row r="27" spans="1:5" ht="60" x14ac:dyDescent="0.25">
      <c r="A27" s="66" t="s">
        <v>18</v>
      </c>
      <c r="B27" s="66" t="s">
        <v>325</v>
      </c>
      <c r="C27" s="3" t="s">
        <v>134</v>
      </c>
      <c r="D27" s="66" t="s">
        <v>13</v>
      </c>
      <c r="E27" s="5">
        <f>5*19</f>
        <v>95</v>
      </c>
    </row>
    <row r="28" spans="1:5" ht="30" x14ac:dyDescent="0.25">
      <c r="A28" s="66" t="s">
        <v>24</v>
      </c>
      <c r="B28" s="66" t="s">
        <v>325</v>
      </c>
      <c r="C28" s="3" t="s">
        <v>73</v>
      </c>
      <c r="D28" s="66" t="s">
        <v>51</v>
      </c>
      <c r="E28" s="5">
        <f>(E26+E27)*0.05*1.03</f>
        <v>49.182500000000005</v>
      </c>
    </row>
    <row r="29" spans="1:5" x14ac:dyDescent="0.25">
      <c r="A29" s="87" t="s">
        <v>34</v>
      </c>
      <c r="B29" s="87"/>
      <c r="C29" s="87"/>
      <c r="D29" s="87"/>
      <c r="E29" s="87"/>
    </row>
    <row r="30" spans="1:5" x14ac:dyDescent="0.25">
      <c r="A30" s="2" t="s">
        <v>35</v>
      </c>
      <c r="B30" s="2"/>
      <c r="C30" s="87" t="s">
        <v>70</v>
      </c>
      <c r="D30" s="87"/>
      <c r="E30" s="87"/>
    </row>
    <row r="31" spans="1:5" ht="17.25" x14ac:dyDescent="0.25">
      <c r="A31" s="66" t="s">
        <v>157</v>
      </c>
      <c r="B31" s="66" t="s">
        <v>318</v>
      </c>
      <c r="C31" s="3" t="s">
        <v>71</v>
      </c>
      <c r="D31" s="66" t="s">
        <v>13</v>
      </c>
      <c r="E31" s="5">
        <f>E26+E27</f>
        <v>955</v>
      </c>
    </row>
    <row r="32" spans="1:5" ht="17.25" x14ac:dyDescent="0.25">
      <c r="A32" s="66" t="s">
        <v>18</v>
      </c>
      <c r="B32" s="66" t="s">
        <v>151</v>
      </c>
      <c r="C32" s="3" t="s">
        <v>152</v>
      </c>
      <c r="D32" s="66" t="s">
        <v>13</v>
      </c>
      <c r="E32" s="32">
        <f>E6*2*0.5*1000</f>
        <v>430</v>
      </c>
    </row>
    <row r="33" spans="1:5" x14ac:dyDescent="0.25">
      <c r="A33" s="66" t="s">
        <v>24</v>
      </c>
      <c r="B33" s="66" t="s">
        <v>282</v>
      </c>
      <c r="C33" s="3" t="s">
        <v>285</v>
      </c>
      <c r="D33" s="66" t="s">
        <v>195</v>
      </c>
      <c r="E33" s="32">
        <f>E6*1000-E34</f>
        <v>352.08</v>
      </c>
    </row>
    <row r="34" spans="1:5" x14ac:dyDescent="0.25">
      <c r="A34" s="66" t="s">
        <v>27</v>
      </c>
      <c r="B34" s="66" t="s">
        <v>283</v>
      </c>
      <c r="C34" s="3" t="s">
        <v>284</v>
      </c>
      <c r="D34" s="66" t="s">
        <v>195</v>
      </c>
      <c r="E34" s="32">
        <f>13.3+14.84+14.37+12.22+23.19</f>
        <v>77.92</v>
      </c>
    </row>
    <row r="35" spans="1:5" x14ac:dyDescent="0.25">
      <c r="A35" s="87" t="s">
        <v>72</v>
      </c>
      <c r="B35" s="87"/>
      <c r="C35" s="87"/>
      <c r="D35" s="87"/>
      <c r="E35" s="87"/>
    </row>
    <row r="36" spans="1:5" x14ac:dyDescent="0.25">
      <c r="A36" s="2" t="s">
        <v>42</v>
      </c>
      <c r="B36" s="2"/>
      <c r="C36" s="87" t="s">
        <v>36</v>
      </c>
      <c r="D36" s="87"/>
      <c r="E36" s="87"/>
    </row>
    <row r="37" spans="1:5" x14ac:dyDescent="0.25">
      <c r="A37" s="2"/>
      <c r="B37" s="2"/>
      <c r="C37" s="87" t="s">
        <v>39</v>
      </c>
      <c r="D37" s="87"/>
      <c r="E37" s="87"/>
    </row>
    <row r="38" spans="1:5" x14ac:dyDescent="0.25">
      <c r="A38" s="66"/>
      <c r="B38" s="66" t="s">
        <v>40</v>
      </c>
      <c r="C38" s="35" t="s">
        <v>163</v>
      </c>
      <c r="D38" s="62"/>
      <c r="E38" s="5"/>
    </row>
    <row r="39" spans="1:5" x14ac:dyDescent="0.25">
      <c r="A39" s="66" t="s">
        <v>157</v>
      </c>
      <c r="B39" s="66"/>
      <c r="C39" s="35" t="s">
        <v>238</v>
      </c>
      <c r="D39" s="66" t="s">
        <v>12</v>
      </c>
      <c r="E39" s="66" t="s">
        <v>157</v>
      </c>
    </row>
    <row r="40" spans="1:5" x14ac:dyDescent="0.25">
      <c r="A40" s="66" t="s">
        <v>18</v>
      </c>
      <c r="B40" s="66"/>
      <c r="C40" s="35" t="s">
        <v>196</v>
      </c>
      <c r="D40" s="66" t="s">
        <v>12</v>
      </c>
      <c r="E40" s="66" t="s">
        <v>18</v>
      </c>
    </row>
    <row r="41" spans="1:5" x14ac:dyDescent="0.25">
      <c r="A41" s="66" t="s">
        <v>24</v>
      </c>
      <c r="B41" s="66"/>
      <c r="C41" s="35" t="s">
        <v>239</v>
      </c>
      <c r="D41" s="66" t="s">
        <v>12</v>
      </c>
      <c r="E41" s="66" t="s">
        <v>18</v>
      </c>
    </row>
    <row r="42" spans="1:5" x14ac:dyDescent="0.25">
      <c r="A42" s="66" t="s">
        <v>27</v>
      </c>
      <c r="B42" s="66"/>
      <c r="C42" s="35" t="s">
        <v>240</v>
      </c>
      <c r="D42" s="66" t="s">
        <v>12</v>
      </c>
      <c r="E42" s="66" t="s">
        <v>157</v>
      </c>
    </row>
    <row r="43" spans="1:5" x14ac:dyDescent="0.25">
      <c r="A43" s="66" t="s">
        <v>31</v>
      </c>
      <c r="B43" s="64"/>
      <c r="C43" s="35" t="s">
        <v>225</v>
      </c>
      <c r="D43" s="66" t="s">
        <v>12</v>
      </c>
      <c r="E43" s="66" t="s">
        <v>18</v>
      </c>
    </row>
    <row r="44" spans="1:5" x14ac:dyDescent="0.25">
      <c r="A44" s="66" t="s">
        <v>35</v>
      </c>
      <c r="B44" s="64"/>
      <c r="C44" s="35" t="s">
        <v>220</v>
      </c>
      <c r="D44" s="66" t="s">
        <v>12</v>
      </c>
      <c r="E44" s="66" t="s">
        <v>157</v>
      </c>
    </row>
    <row r="45" spans="1:5" x14ac:dyDescent="0.25">
      <c r="A45" s="66" t="s">
        <v>42</v>
      </c>
      <c r="B45" s="64"/>
      <c r="C45" s="35" t="s">
        <v>241</v>
      </c>
      <c r="D45" s="66" t="s">
        <v>12</v>
      </c>
      <c r="E45" s="66" t="s">
        <v>18</v>
      </c>
    </row>
    <row r="46" spans="1:5" x14ac:dyDescent="0.25">
      <c r="A46" s="66" t="s">
        <v>47</v>
      </c>
      <c r="B46" s="64"/>
      <c r="C46" s="35" t="s">
        <v>212</v>
      </c>
      <c r="D46" s="66" t="s">
        <v>12</v>
      </c>
      <c r="E46" s="66" t="s">
        <v>42</v>
      </c>
    </row>
    <row r="47" spans="1:5" x14ac:dyDescent="0.25">
      <c r="A47" s="66"/>
      <c r="B47" s="2"/>
      <c r="C47" s="87" t="s">
        <v>37</v>
      </c>
      <c r="D47" s="87"/>
      <c r="E47" s="87"/>
    </row>
    <row r="48" spans="1:5" x14ac:dyDescent="0.25">
      <c r="A48" s="66"/>
      <c r="B48" s="66" t="s">
        <v>38</v>
      </c>
      <c r="C48" s="35" t="s">
        <v>163</v>
      </c>
      <c r="D48" s="62"/>
      <c r="E48" s="5"/>
    </row>
    <row r="49" spans="1:8" x14ac:dyDescent="0.25">
      <c r="A49" s="66" t="s">
        <v>157</v>
      </c>
      <c r="B49" s="66"/>
      <c r="C49" s="35" t="s">
        <v>242</v>
      </c>
      <c r="D49" s="66" t="s">
        <v>12</v>
      </c>
      <c r="E49" s="66" t="s">
        <v>157</v>
      </c>
    </row>
    <row r="50" spans="1:8" x14ac:dyDescent="0.25">
      <c r="A50" s="66" t="s">
        <v>18</v>
      </c>
      <c r="B50" s="66"/>
      <c r="C50" s="35" t="s">
        <v>243</v>
      </c>
      <c r="D50" s="66" t="s">
        <v>12</v>
      </c>
      <c r="E50" s="66" t="s">
        <v>157</v>
      </c>
    </row>
    <row r="51" spans="1:8" x14ac:dyDescent="0.25">
      <c r="A51" s="66" t="s">
        <v>24</v>
      </c>
      <c r="B51" s="66"/>
      <c r="C51" s="35" t="s">
        <v>244</v>
      </c>
      <c r="D51" s="66" t="s">
        <v>12</v>
      </c>
      <c r="E51" s="66" t="s">
        <v>157</v>
      </c>
    </row>
    <row r="52" spans="1:8" x14ac:dyDescent="0.25">
      <c r="A52" s="66" t="s">
        <v>27</v>
      </c>
      <c r="B52" s="66"/>
      <c r="C52" s="35" t="s">
        <v>221</v>
      </c>
      <c r="D52" s="66" t="s">
        <v>12</v>
      </c>
      <c r="E52" s="66" t="s">
        <v>18</v>
      </c>
    </row>
    <row r="53" spans="1:8" x14ac:dyDescent="0.25">
      <c r="A53" s="66" t="s">
        <v>31</v>
      </c>
      <c r="B53" s="64"/>
      <c r="C53" s="35" t="s">
        <v>208</v>
      </c>
      <c r="D53" s="66" t="s">
        <v>12</v>
      </c>
      <c r="E53" s="66" t="s">
        <v>157</v>
      </c>
    </row>
    <row r="54" spans="1:8" x14ac:dyDescent="0.25">
      <c r="A54" s="87" t="s">
        <v>41</v>
      </c>
      <c r="B54" s="87"/>
      <c r="C54" s="87"/>
      <c r="D54" s="87"/>
      <c r="E54" s="87"/>
    </row>
    <row r="55" spans="1:8" x14ac:dyDescent="0.25">
      <c r="A55" s="2" t="s">
        <v>47</v>
      </c>
      <c r="B55" s="2"/>
      <c r="C55" s="87" t="s">
        <v>43</v>
      </c>
      <c r="D55" s="87"/>
      <c r="E55" s="87"/>
    </row>
    <row r="56" spans="1:8" ht="45" x14ac:dyDescent="0.25">
      <c r="A56" s="66" t="s">
        <v>157</v>
      </c>
      <c r="B56" s="66" t="s">
        <v>328</v>
      </c>
      <c r="C56" s="8" t="s">
        <v>143</v>
      </c>
      <c r="D56" s="66" t="s">
        <v>15</v>
      </c>
      <c r="E56" s="5">
        <v>82.18</v>
      </c>
      <c r="H56" s="62"/>
    </row>
    <row r="57" spans="1:8" ht="30" x14ac:dyDescent="0.25">
      <c r="A57" s="66" t="s">
        <v>18</v>
      </c>
      <c r="B57" s="66" t="s">
        <v>44</v>
      </c>
      <c r="C57" s="3" t="s">
        <v>45</v>
      </c>
      <c r="D57" s="66" t="s">
        <v>15</v>
      </c>
      <c r="E57" s="32">
        <f>E6*1000*2</f>
        <v>860</v>
      </c>
    </row>
    <row r="58" spans="1:8" x14ac:dyDescent="0.25">
      <c r="A58" s="87" t="s">
        <v>46</v>
      </c>
      <c r="B58" s="87"/>
      <c r="C58" s="87"/>
      <c r="D58" s="87"/>
      <c r="E58" s="87"/>
    </row>
    <row r="59" spans="1:8" x14ac:dyDescent="0.25">
      <c r="A59" s="88" t="s">
        <v>54</v>
      </c>
      <c r="B59" s="89"/>
      <c r="C59" s="89"/>
      <c r="D59" s="89"/>
      <c r="E59" s="89"/>
    </row>
    <row r="60" spans="1:8" x14ac:dyDescent="0.25">
      <c r="A60" s="90" t="s">
        <v>55</v>
      </c>
      <c r="B60" s="91"/>
      <c r="C60" s="91"/>
      <c r="D60" s="91"/>
      <c r="E60" s="91"/>
    </row>
    <row r="61" spans="1:8" x14ac:dyDescent="0.25">
      <c r="A61" s="92" t="s">
        <v>56</v>
      </c>
      <c r="B61" s="93"/>
      <c r="C61" s="93"/>
      <c r="D61" s="93"/>
      <c r="E61" s="93"/>
    </row>
  </sheetData>
  <mergeCells count="23">
    <mergeCell ref="A1:E1"/>
    <mergeCell ref="A2:E2"/>
    <mergeCell ref="C4:E4"/>
    <mergeCell ref="A5:A6"/>
    <mergeCell ref="B5:B6"/>
    <mergeCell ref="A11:E11"/>
    <mergeCell ref="C12:E12"/>
    <mergeCell ref="A17:E17"/>
    <mergeCell ref="C18:E18"/>
    <mergeCell ref="A24:E24"/>
    <mergeCell ref="A60:E60"/>
    <mergeCell ref="A61:E61"/>
    <mergeCell ref="A58:E58"/>
    <mergeCell ref="C55:E55"/>
    <mergeCell ref="C25:E25"/>
    <mergeCell ref="A29:E29"/>
    <mergeCell ref="C30:E30"/>
    <mergeCell ref="A35:E35"/>
    <mergeCell ref="A59:E59"/>
    <mergeCell ref="C36:E36"/>
    <mergeCell ref="C37:E37"/>
    <mergeCell ref="C47:E47"/>
    <mergeCell ref="A54:E54"/>
  </mergeCells>
  <pageMargins left="0.7" right="0.7" top="0.75" bottom="0.75" header="0.3" footer="0.3"/>
  <pageSetup paperSize="9" scale="74" orientation="portrait" r:id="rId1"/>
  <rowBreaks count="1" manualBreakCount="1">
    <brk id="35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workbookViewId="0">
      <selection activeCell="H5" sqref="H5"/>
    </sheetView>
  </sheetViews>
  <sheetFormatPr defaultRowHeight="15" x14ac:dyDescent="0.25"/>
  <cols>
    <col min="2" max="2" width="16" customWidth="1"/>
    <col min="3" max="3" width="51.28515625" customWidth="1"/>
    <col min="8" max="8" width="14.5703125" customWidth="1"/>
  </cols>
  <sheetData>
    <row r="1" spans="1:5" ht="64.5" customHeight="1" x14ac:dyDescent="0.25">
      <c r="A1" s="94" t="s">
        <v>180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890/1000</f>
        <v>0.89</v>
      </c>
    </row>
    <row r="7" spans="1:5" x14ac:dyDescent="0.25">
      <c r="A7" s="66"/>
      <c r="B7" s="66" t="s">
        <v>11</v>
      </c>
      <c r="C7" s="3" t="s">
        <v>58</v>
      </c>
      <c r="D7" s="66"/>
      <c r="E7" s="6"/>
    </row>
    <row r="8" spans="1:5" ht="30" x14ac:dyDescent="0.25">
      <c r="A8" s="66" t="s">
        <v>18</v>
      </c>
      <c r="B8" s="66"/>
      <c r="C8" s="3" t="s">
        <v>126</v>
      </c>
      <c r="D8" s="29" t="s">
        <v>12</v>
      </c>
      <c r="E8" s="6">
        <f>wycinka!L160+wycinka!L161</f>
        <v>2</v>
      </c>
    </row>
    <row r="9" spans="1:5" ht="17.25" x14ac:dyDescent="0.25">
      <c r="A9" s="66" t="s">
        <v>161</v>
      </c>
      <c r="B9" s="66" t="s">
        <v>14</v>
      </c>
      <c r="C9" s="3" t="s">
        <v>147</v>
      </c>
      <c r="D9" s="66" t="s">
        <v>13</v>
      </c>
      <c r="E9" s="5">
        <f>30*11</f>
        <v>330</v>
      </c>
    </row>
    <row r="10" spans="1:5" ht="45" x14ac:dyDescent="0.25">
      <c r="A10" s="66" t="s">
        <v>162</v>
      </c>
      <c r="B10" s="66" t="s">
        <v>14</v>
      </c>
      <c r="C10" s="3" t="s">
        <v>148</v>
      </c>
      <c r="D10" s="66" t="s">
        <v>21</v>
      </c>
      <c r="E10" s="4">
        <f>E9*0.2</f>
        <v>66</v>
      </c>
    </row>
    <row r="11" spans="1:5" x14ac:dyDescent="0.25">
      <c r="A11" s="87" t="s">
        <v>17</v>
      </c>
      <c r="B11" s="87"/>
      <c r="C11" s="87"/>
      <c r="D11" s="87"/>
      <c r="E11" s="87"/>
    </row>
    <row r="12" spans="1:5" x14ac:dyDescent="0.25">
      <c r="A12" s="2" t="s">
        <v>18</v>
      </c>
      <c r="B12" s="2"/>
      <c r="C12" s="87" t="s">
        <v>19</v>
      </c>
      <c r="D12" s="87"/>
      <c r="E12" s="87"/>
    </row>
    <row r="13" spans="1:5" x14ac:dyDescent="0.25">
      <c r="A13" s="66"/>
      <c r="B13" s="66" t="s">
        <v>20</v>
      </c>
      <c r="C13" s="3" t="s">
        <v>60</v>
      </c>
      <c r="D13" s="66"/>
      <c r="E13" s="7"/>
    </row>
    <row r="14" spans="1:5" ht="30" x14ac:dyDescent="0.25">
      <c r="A14" s="66" t="s">
        <v>157</v>
      </c>
      <c r="B14" s="66"/>
      <c r="C14" s="8" t="s">
        <v>61</v>
      </c>
      <c r="D14" s="66" t="s">
        <v>62</v>
      </c>
      <c r="E14" s="5">
        <v>1258.0999999999999</v>
      </c>
    </row>
    <row r="15" spans="1:5" x14ac:dyDescent="0.25">
      <c r="A15" s="66"/>
      <c r="B15" s="66" t="s">
        <v>22</v>
      </c>
      <c r="C15" s="3" t="s">
        <v>63</v>
      </c>
      <c r="D15" s="66"/>
      <c r="E15" s="5"/>
    </row>
    <row r="16" spans="1:5" ht="30" x14ac:dyDescent="0.25">
      <c r="A16" s="66" t="s">
        <v>18</v>
      </c>
      <c r="B16" s="66"/>
      <c r="C16" s="8" t="s">
        <v>64</v>
      </c>
      <c r="D16" s="71" t="s">
        <v>62</v>
      </c>
      <c r="E16" s="5">
        <v>23.9</v>
      </c>
    </row>
    <row r="17" spans="1:5" x14ac:dyDescent="0.25">
      <c r="A17" s="87" t="s">
        <v>23</v>
      </c>
      <c r="B17" s="87"/>
      <c r="C17" s="87"/>
      <c r="D17" s="87"/>
      <c r="E17" s="87"/>
    </row>
    <row r="18" spans="1:5" x14ac:dyDescent="0.25">
      <c r="A18" s="2" t="s">
        <v>24</v>
      </c>
      <c r="B18" s="2"/>
      <c r="C18" s="87" t="s">
        <v>25</v>
      </c>
      <c r="D18" s="87"/>
      <c r="E18" s="87"/>
    </row>
    <row r="19" spans="1:5" x14ac:dyDescent="0.25">
      <c r="A19" s="66" t="s">
        <v>18</v>
      </c>
      <c r="B19" s="66" t="s">
        <v>329</v>
      </c>
      <c r="C19" s="8" t="s">
        <v>286</v>
      </c>
      <c r="D19" s="5" t="s">
        <v>15</v>
      </c>
      <c r="E19" s="5">
        <f>67.39+37.21+19+28.9+85.76+8.29+51.88+20.35+103.08+68.44+10.53+63.6+6.5+7.42+4+40.88+28.07+23.91</f>
        <v>675.20999999999992</v>
      </c>
    </row>
    <row r="20" spans="1:5" x14ac:dyDescent="0.25">
      <c r="A20" s="87" t="s">
        <v>26</v>
      </c>
      <c r="B20" s="87"/>
      <c r="C20" s="87"/>
      <c r="D20" s="87"/>
      <c r="E20" s="87"/>
    </row>
    <row r="21" spans="1:5" x14ac:dyDescent="0.25">
      <c r="A21" s="2" t="s">
        <v>27</v>
      </c>
      <c r="B21" s="2"/>
      <c r="C21" s="87" t="s">
        <v>28</v>
      </c>
      <c r="D21" s="87"/>
      <c r="E21" s="87"/>
    </row>
    <row r="22" spans="1:5" ht="30" x14ac:dyDescent="0.25">
      <c r="A22" s="66" t="s">
        <v>157</v>
      </c>
      <c r="B22" s="66" t="s">
        <v>65</v>
      </c>
      <c r="C22" s="8" t="s">
        <v>67</v>
      </c>
      <c r="D22" s="5" t="s">
        <v>66</v>
      </c>
      <c r="E22" s="32">
        <f>E29+E30</f>
        <v>2231</v>
      </c>
    </row>
    <row r="23" spans="1:5" ht="30" x14ac:dyDescent="0.25">
      <c r="A23" s="66" t="s">
        <v>24</v>
      </c>
      <c r="B23" s="66" t="s">
        <v>65</v>
      </c>
      <c r="C23" s="8" t="s">
        <v>69</v>
      </c>
      <c r="D23" s="5" t="s">
        <v>66</v>
      </c>
      <c r="E23" s="32">
        <f>E29+E30</f>
        <v>2231</v>
      </c>
    </row>
    <row r="24" spans="1:5" ht="30" x14ac:dyDescent="0.25">
      <c r="A24" s="66" t="s">
        <v>27</v>
      </c>
      <c r="B24" s="66" t="s">
        <v>29</v>
      </c>
      <c r="C24" s="3" t="s">
        <v>319</v>
      </c>
      <c r="D24" s="66" t="s">
        <v>13</v>
      </c>
      <c r="E24" s="32">
        <f>E29+E30</f>
        <v>2231</v>
      </c>
    </row>
    <row r="25" spans="1:5" ht="30" x14ac:dyDescent="0.25">
      <c r="A25" s="66" t="s">
        <v>31</v>
      </c>
      <c r="B25" s="66" t="s">
        <v>324</v>
      </c>
      <c r="C25" s="3" t="s">
        <v>74</v>
      </c>
      <c r="D25" s="66" t="s">
        <v>13</v>
      </c>
      <c r="E25" s="32">
        <f>E29+E30</f>
        <v>2231</v>
      </c>
    </row>
    <row r="26" spans="1:5" ht="30" x14ac:dyDescent="0.25">
      <c r="A26" s="66" t="s">
        <v>35</v>
      </c>
      <c r="B26" s="66" t="s">
        <v>316</v>
      </c>
      <c r="C26" s="3" t="s">
        <v>164</v>
      </c>
      <c r="D26" s="66" t="s">
        <v>13</v>
      </c>
      <c r="E26" s="32">
        <f>E29+E30</f>
        <v>2231</v>
      </c>
    </row>
    <row r="27" spans="1:5" x14ac:dyDescent="0.25">
      <c r="A27" s="87" t="s">
        <v>30</v>
      </c>
      <c r="B27" s="87"/>
      <c r="C27" s="87"/>
      <c r="D27" s="87"/>
      <c r="E27" s="87"/>
    </row>
    <row r="28" spans="1:5" x14ac:dyDescent="0.25">
      <c r="A28" s="2" t="s">
        <v>31</v>
      </c>
      <c r="B28" s="2"/>
      <c r="C28" s="87" t="s">
        <v>32</v>
      </c>
      <c r="D28" s="87"/>
      <c r="E28" s="87"/>
    </row>
    <row r="29" spans="1:5" ht="45" x14ac:dyDescent="0.25">
      <c r="A29" s="66" t="s">
        <v>27</v>
      </c>
      <c r="B29" s="66" t="s">
        <v>325</v>
      </c>
      <c r="C29" s="3" t="s">
        <v>192</v>
      </c>
      <c r="D29" s="66" t="s">
        <v>13</v>
      </c>
      <c r="E29" s="5">
        <f>E6*2*1000</f>
        <v>1780</v>
      </c>
    </row>
    <row r="30" spans="1:5" ht="60" x14ac:dyDescent="0.25">
      <c r="A30" s="66" t="s">
        <v>42</v>
      </c>
      <c r="B30" s="66" t="s">
        <v>325</v>
      </c>
      <c r="C30" s="3" t="s">
        <v>134</v>
      </c>
      <c r="D30" s="66" t="s">
        <v>13</v>
      </c>
      <c r="E30" s="5">
        <f>41*11</f>
        <v>451</v>
      </c>
    </row>
    <row r="31" spans="1:5" ht="30" x14ac:dyDescent="0.25">
      <c r="A31" s="66" t="s">
        <v>47</v>
      </c>
      <c r="B31" s="66" t="s">
        <v>325</v>
      </c>
      <c r="C31" s="3" t="s">
        <v>73</v>
      </c>
      <c r="D31" s="66" t="s">
        <v>51</v>
      </c>
      <c r="E31" s="5">
        <f>(E29+E30)*0.05*1.03</f>
        <v>114.89650000000002</v>
      </c>
    </row>
    <row r="32" spans="1:5" x14ac:dyDescent="0.25">
      <c r="A32" s="87" t="s">
        <v>34</v>
      </c>
      <c r="B32" s="87"/>
      <c r="C32" s="87"/>
      <c r="D32" s="87"/>
      <c r="E32" s="87"/>
    </row>
    <row r="33" spans="1:5" x14ac:dyDescent="0.25">
      <c r="A33" s="2" t="s">
        <v>35</v>
      </c>
      <c r="B33" s="2"/>
      <c r="C33" s="87" t="s">
        <v>70</v>
      </c>
      <c r="D33" s="87"/>
      <c r="E33" s="87"/>
    </row>
    <row r="34" spans="1:5" ht="17.25" x14ac:dyDescent="0.25">
      <c r="A34" s="66" t="s">
        <v>157</v>
      </c>
      <c r="B34" s="66" t="s">
        <v>318</v>
      </c>
      <c r="C34" s="3" t="s">
        <v>71</v>
      </c>
      <c r="D34" s="66" t="s">
        <v>13</v>
      </c>
      <c r="E34" s="5">
        <f>E29+E30</f>
        <v>2231</v>
      </c>
    </row>
    <row r="35" spans="1:5" ht="17.25" x14ac:dyDescent="0.25">
      <c r="A35" s="66" t="s">
        <v>18</v>
      </c>
      <c r="B35" s="66" t="s">
        <v>151</v>
      </c>
      <c r="C35" s="3" t="s">
        <v>152</v>
      </c>
      <c r="D35" s="66" t="s">
        <v>13</v>
      </c>
      <c r="E35" s="32">
        <f>E6*2*1000*0.5</f>
        <v>890</v>
      </c>
    </row>
    <row r="36" spans="1:5" x14ac:dyDescent="0.25">
      <c r="A36" s="66" t="s">
        <v>24</v>
      </c>
      <c r="B36" s="66" t="s">
        <v>68</v>
      </c>
      <c r="C36" s="3" t="s">
        <v>288</v>
      </c>
      <c r="D36" s="66" t="s">
        <v>15</v>
      </c>
      <c r="E36" s="32">
        <f>5.54+6.95+4.46+5.56+6.3+7.02+4.01+6.55+6.37+4.72+7</f>
        <v>64.47999999999999</v>
      </c>
    </row>
    <row r="37" spans="1:5" ht="30" x14ac:dyDescent="0.25">
      <c r="A37" s="66" t="s">
        <v>27</v>
      </c>
      <c r="B37" s="66" t="s">
        <v>68</v>
      </c>
      <c r="C37" s="3" t="s">
        <v>287</v>
      </c>
      <c r="D37" s="66" t="s">
        <v>15</v>
      </c>
      <c r="E37" s="32">
        <f>125</f>
        <v>125</v>
      </c>
    </row>
    <row r="38" spans="1:5" x14ac:dyDescent="0.25">
      <c r="A38" s="87" t="s">
        <v>72</v>
      </c>
      <c r="B38" s="87"/>
      <c r="C38" s="87"/>
      <c r="D38" s="87"/>
      <c r="E38" s="87"/>
    </row>
    <row r="39" spans="1:5" x14ac:dyDescent="0.25">
      <c r="A39" s="2" t="s">
        <v>42</v>
      </c>
      <c r="B39" s="2"/>
      <c r="C39" s="87" t="s">
        <v>36</v>
      </c>
      <c r="D39" s="87"/>
      <c r="E39" s="87"/>
    </row>
    <row r="40" spans="1:5" x14ac:dyDescent="0.25">
      <c r="A40" s="2"/>
      <c r="B40" s="2"/>
      <c r="C40" s="87" t="s">
        <v>39</v>
      </c>
      <c r="D40" s="87"/>
      <c r="E40" s="87"/>
    </row>
    <row r="41" spans="1:5" x14ac:dyDescent="0.25">
      <c r="A41" s="80"/>
      <c r="B41" s="80" t="s">
        <v>40</v>
      </c>
      <c r="C41" s="35" t="s">
        <v>163</v>
      </c>
      <c r="D41" s="62"/>
      <c r="E41" s="5"/>
    </row>
    <row r="42" spans="1:5" x14ac:dyDescent="0.25">
      <c r="A42" s="80" t="s">
        <v>157</v>
      </c>
      <c r="B42" s="80"/>
      <c r="C42" s="35" t="s">
        <v>220</v>
      </c>
      <c r="D42" s="80" t="s">
        <v>12</v>
      </c>
      <c r="E42" s="80" t="s">
        <v>157</v>
      </c>
    </row>
    <row r="43" spans="1:5" x14ac:dyDescent="0.25">
      <c r="A43" s="80" t="s">
        <v>18</v>
      </c>
      <c r="B43" s="79"/>
      <c r="C43" s="35" t="s">
        <v>212</v>
      </c>
      <c r="D43" s="80" t="s">
        <v>12</v>
      </c>
      <c r="E43" s="80" t="s">
        <v>157</v>
      </c>
    </row>
    <row r="44" spans="1:5" x14ac:dyDescent="0.25">
      <c r="A44" s="87" t="s">
        <v>41</v>
      </c>
      <c r="B44" s="87"/>
      <c r="C44" s="87"/>
      <c r="D44" s="87"/>
      <c r="E44" s="87"/>
    </row>
    <row r="45" spans="1:5" x14ac:dyDescent="0.25">
      <c r="A45" s="2" t="s">
        <v>47</v>
      </c>
      <c r="B45" s="2"/>
      <c r="C45" s="87" t="s">
        <v>43</v>
      </c>
      <c r="D45" s="87"/>
      <c r="E45" s="87"/>
    </row>
    <row r="46" spans="1:5" ht="45" x14ac:dyDescent="0.25">
      <c r="A46" s="66" t="s">
        <v>157</v>
      </c>
      <c r="B46" s="66" t="s">
        <v>328</v>
      </c>
      <c r="C46" s="8" t="s">
        <v>143</v>
      </c>
      <c r="D46" s="66" t="s">
        <v>15</v>
      </c>
      <c r="E46" s="5">
        <v>150</v>
      </c>
    </row>
    <row r="47" spans="1:5" ht="30" x14ac:dyDescent="0.25">
      <c r="A47" s="66" t="s">
        <v>24</v>
      </c>
      <c r="B47" s="66" t="s">
        <v>44</v>
      </c>
      <c r="C47" s="3" t="s">
        <v>45</v>
      </c>
      <c r="D47" s="66" t="s">
        <v>15</v>
      </c>
      <c r="E47" s="32">
        <f>E6*1000*2</f>
        <v>1780</v>
      </c>
    </row>
    <row r="48" spans="1:5" x14ac:dyDescent="0.25">
      <c r="A48" s="98" t="s">
        <v>46</v>
      </c>
      <c r="B48" s="99"/>
      <c r="C48" s="99"/>
      <c r="D48" s="99"/>
      <c r="E48" s="99"/>
    </row>
    <row r="49" spans="1:8" x14ac:dyDescent="0.25">
      <c r="A49" s="88" t="s">
        <v>54</v>
      </c>
      <c r="B49" s="89"/>
      <c r="C49" s="89"/>
      <c r="D49" s="89"/>
      <c r="E49" s="89"/>
      <c r="H49" s="81">
        <v>560248.75392499997</v>
      </c>
    </row>
    <row r="50" spans="1:8" x14ac:dyDescent="0.25">
      <c r="A50" s="90" t="s">
        <v>55</v>
      </c>
      <c r="B50" s="91"/>
      <c r="C50" s="91"/>
      <c r="D50" s="91"/>
      <c r="E50" s="91"/>
      <c r="H50" s="81">
        <v>128857.21340275</v>
      </c>
    </row>
    <row r="51" spans="1:8" x14ac:dyDescent="0.25">
      <c r="A51" s="92" t="s">
        <v>56</v>
      </c>
      <c r="B51" s="93"/>
      <c r="C51" s="93"/>
      <c r="D51" s="93"/>
      <c r="E51" s="93"/>
      <c r="H51" s="81">
        <v>689105.96732774994</v>
      </c>
    </row>
  </sheetData>
  <mergeCells count="24">
    <mergeCell ref="A1:E1"/>
    <mergeCell ref="A2:E2"/>
    <mergeCell ref="C4:E4"/>
    <mergeCell ref="A5:A6"/>
    <mergeCell ref="B5:B6"/>
    <mergeCell ref="A11:E11"/>
    <mergeCell ref="C12:E12"/>
    <mergeCell ref="A17:E17"/>
    <mergeCell ref="C18:E18"/>
    <mergeCell ref="A20:E20"/>
    <mergeCell ref="C21:E21"/>
    <mergeCell ref="A27:E27"/>
    <mergeCell ref="C28:E28"/>
    <mergeCell ref="A32:E32"/>
    <mergeCell ref="C33:E33"/>
    <mergeCell ref="A38:E38"/>
    <mergeCell ref="A49:E49"/>
    <mergeCell ref="A50:E50"/>
    <mergeCell ref="A51:E51"/>
    <mergeCell ref="A48:E48"/>
    <mergeCell ref="C45:E45"/>
    <mergeCell ref="C39:E39"/>
    <mergeCell ref="C40:E40"/>
    <mergeCell ref="A44:E44"/>
  </mergeCells>
  <pageMargins left="0.7" right="0.7" top="0.75" bottom="0.75" header="0.3" footer="0.3"/>
  <pageSetup paperSize="9" scale="72" orientation="portrait" r:id="rId1"/>
  <rowBreaks count="1" manualBreakCount="1">
    <brk id="32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>
      <selection activeCell="A2" sqref="A2:XFD2"/>
    </sheetView>
  </sheetViews>
  <sheetFormatPr defaultRowHeight="15" x14ac:dyDescent="0.25"/>
  <cols>
    <col min="2" max="2" width="16.85546875" customWidth="1"/>
    <col min="3" max="3" width="50.7109375" customWidth="1"/>
    <col min="7" max="7" width="13.7109375" customWidth="1"/>
  </cols>
  <sheetData>
    <row r="1" spans="1:5" ht="64.5" customHeight="1" x14ac:dyDescent="0.25">
      <c r="A1" s="94" t="s">
        <v>181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537/1000</f>
        <v>0.53700000000000003</v>
      </c>
    </row>
    <row r="7" spans="1:5" x14ac:dyDescent="0.25">
      <c r="A7" s="66"/>
      <c r="B7" s="66" t="s">
        <v>11</v>
      </c>
      <c r="C7" s="3" t="s">
        <v>58</v>
      </c>
      <c r="D7" s="66"/>
      <c r="E7" s="6"/>
    </row>
    <row r="8" spans="1:5" ht="30" x14ac:dyDescent="0.25">
      <c r="A8" s="66" t="s">
        <v>18</v>
      </c>
      <c r="B8" s="66"/>
      <c r="C8" s="3" t="s">
        <v>126</v>
      </c>
      <c r="D8" s="29" t="s">
        <v>12</v>
      </c>
      <c r="E8" s="6">
        <f>wycinka!L143+wycinka!L145+wycinka!L150+wycinka!L155+wycinka!L156+wycinka!L157+wycinka!L158+wycinka!L159</f>
        <v>8</v>
      </c>
    </row>
    <row r="9" spans="1:5" ht="30" x14ac:dyDescent="0.25">
      <c r="A9" s="66" t="s">
        <v>24</v>
      </c>
      <c r="B9" s="66"/>
      <c r="C9" s="3" t="s">
        <v>127</v>
      </c>
      <c r="D9" s="29" t="s">
        <v>12</v>
      </c>
      <c r="E9" s="6">
        <f>wycinka!L139+wycinka!L140+wycinka!L141+wycinka!L142+wycinka!L144+wycinka!L146+wycinka!L147+wycinka!L148+wycinka!L149+wycinka!L151+wycinka!L152+wycinka!L153+wycinka!L154</f>
        <v>13</v>
      </c>
    </row>
    <row r="10" spans="1:5" ht="17.25" x14ac:dyDescent="0.25">
      <c r="A10" s="66" t="s">
        <v>27</v>
      </c>
      <c r="B10" s="66" t="s">
        <v>14</v>
      </c>
      <c r="C10" s="3" t="s">
        <v>147</v>
      </c>
      <c r="D10" s="66" t="s">
        <v>13</v>
      </c>
      <c r="E10" s="4">
        <f>30*4</f>
        <v>120</v>
      </c>
    </row>
    <row r="11" spans="1:5" ht="45" x14ac:dyDescent="0.25">
      <c r="A11" s="66" t="s">
        <v>31</v>
      </c>
      <c r="B11" s="66" t="s">
        <v>14</v>
      </c>
      <c r="C11" s="3" t="s">
        <v>148</v>
      </c>
      <c r="D11" s="66" t="s">
        <v>21</v>
      </c>
      <c r="E11" s="4">
        <f>E10*0.2</f>
        <v>24</v>
      </c>
    </row>
    <row r="12" spans="1:5" x14ac:dyDescent="0.25">
      <c r="A12" s="87" t="s">
        <v>17</v>
      </c>
      <c r="B12" s="87"/>
      <c r="C12" s="87"/>
      <c r="D12" s="87"/>
      <c r="E12" s="87"/>
    </row>
    <row r="13" spans="1:5" x14ac:dyDescent="0.25">
      <c r="A13" s="2" t="s">
        <v>18</v>
      </c>
      <c r="B13" s="2"/>
      <c r="C13" s="87" t="s">
        <v>19</v>
      </c>
      <c r="D13" s="87"/>
      <c r="E13" s="87"/>
    </row>
    <row r="14" spans="1:5" x14ac:dyDescent="0.25">
      <c r="A14" s="66"/>
      <c r="B14" s="66" t="s">
        <v>20</v>
      </c>
      <c r="C14" s="3" t="s">
        <v>60</v>
      </c>
      <c r="D14" s="66"/>
      <c r="E14" s="7"/>
    </row>
    <row r="15" spans="1:5" ht="30" x14ac:dyDescent="0.25">
      <c r="A15" s="66" t="s">
        <v>157</v>
      </c>
      <c r="B15" s="66"/>
      <c r="C15" s="8" t="s">
        <v>61</v>
      </c>
      <c r="D15" s="66" t="s">
        <v>62</v>
      </c>
      <c r="E15" s="5">
        <v>405</v>
      </c>
    </row>
    <row r="16" spans="1:5" x14ac:dyDescent="0.25">
      <c r="A16" s="66"/>
      <c r="B16" s="66" t="s">
        <v>22</v>
      </c>
      <c r="C16" s="3" t="s">
        <v>63</v>
      </c>
      <c r="D16" s="66"/>
      <c r="E16" s="5"/>
    </row>
    <row r="17" spans="1:5" ht="30" x14ac:dyDescent="0.25">
      <c r="A17" s="66" t="s">
        <v>18</v>
      </c>
      <c r="B17" s="66"/>
      <c r="C17" s="8" t="s">
        <v>64</v>
      </c>
      <c r="D17" s="9" t="s">
        <v>62</v>
      </c>
      <c r="E17" s="5">
        <v>166</v>
      </c>
    </row>
    <row r="18" spans="1:5" x14ac:dyDescent="0.25">
      <c r="A18" s="87" t="s">
        <v>23</v>
      </c>
      <c r="B18" s="87"/>
      <c r="C18" s="87"/>
      <c r="D18" s="87"/>
      <c r="E18" s="87"/>
    </row>
    <row r="19" spans="1:5" x14ac:dyDescent="0.25">
      <c r="A19" s="2" t="s">
        <v>24</v>
      </c>
      <c r="B19" s="2"/>
      <c r="C19" s="87" t="s">
        <v>25</v>
      </c>
      <c r="D19" s="87"/>
      <c r="E19" s="87"/>
    </row>
    <row r="20" spans="1:5" x14ac:dyDescent="0.25">
      <c r="A20" s="66" t="s">
        <v>157</v>
      </c>
      <c r="B20" s="66" t="s">
        <v>330</v>
      </c>
      <c r="C20" s="8" t="s">
        <v>286</v>
      </c>
      <c r="D20" s="5" t="s">
        <v>15</v>
      </c>
      <c r="E20" s="5">
        <f>42.5+112.76+114.39+30.87</f>
        <v>300.52</v>
      </c>
    </row>
    <row r="21" spans="1:5" ht="75" x14ac:dyDescent="0.25">
      <c r="A21" s="66" t="s">
        <v>18</v>
      </c>
      <c r="B21" s="66" t="s">
        <v>291</v>
      </c>
      <c r="C21" s="8" t="s">
        <v>293</v>
      </c>
      <c r="D21" s="5" t="s">
        <v>292</v>
      </c>
      <c r="E21" s="5">
        <v>1</v>
      </c>
    </row>
    <row r="22" spans="1:5" x14ac:dyDescent="0.25">
      <c r="A22" s="87" t="s">
        <v>26</v>
      </c>
      <c r="B22" s="87"/>
      <c r="C22" s="87"/>
      <c r="D22" s="87"/>
      <c r="E22" s="87"/>
    </row>
    <row r="23" spans="1:5" x14ac:dyDescent="0.25">
      <c r="A23" s="2" t="s">
        <v>27</v>
      </c>
      <c r="B23" s="2"/>
      <c r="C23" s="87" t="s">
        <v>28</v>
      </c>
      <c r="D23" s="87"/>
      <c r="E23" s="87"/>
    </row>
    <row r="24" spans="1:5" ht="45" x14ac:dyDescent="0.25">
      <c r="A24" s="66" t="s">
        <v>157</v>
      </c>
      <c r="B24" s="66" t="s">
        <v>65</v>
      </c>
      <c r="C24" s="8" t="s">
        <v>67</v>
      </c>
      <c r="D24" s="5" t="s">
        <v>66</v>
      </c>
      <c r="E24" s="32">
        <f>E31+E32</f>
        <v>1238</v>
      </c>
    </row>
    <row r="25" spans="1:5" ht="30" x14ac:dyDescent="0.25">
      <c r="A25" s="66" t="s">
        <v>24</v>
      </c>
      <c r="B25" s="66" t="s">
        <v>65</v>
      </c>
      <c r="C25" s="8" t="s">
        <v>69</v>
      </c>
      <c r="D25" s="5" t="s">
        <v>66</v>
      </c>
      <c r="E25" s="32">
        <f>E31+E32</f>
        <v>1238</v>
      </c>
    </row>
    <row r="26" spans="1:5" ht="30" x14ac:dyDescent="0.25">
      <c r="A26" s="66" t="s">
        <v>27</v>
      </c>
      <c r="B26" s="66" t="s">
        <v>29</v>
      </c>
      <c r="C26" s="3" t="s">
        <v>319</v>
      </c>
      <c r="D26" s="66" t="s">
        <v>13</v>
      </c>
      <c r="E26" s="32">
        <f>E31+E32</f>
        <v>1238</v>
      </c>
    </row>
    <row r="27" spans="1:5" ht="30" x14ac:dyDescent="0.25">
      <c r="A27" s="66" t="s">
        <v>31</v>
      </c>
      <c r="B27" s="66" t="s">
        <v>324</v>
      </c>
      <c r="C27" s="3" t="s">
        <v>74</v>
      </c>
      <c r="D27" s="66" t="s">
        <v>13</v>
      </c>
      <c r="E27" s="32">
        <f>E31+E32</f>
        <v>1238</v>
      </c>
    </row>
    <row r="28" spans="1:5" ht="30" x14ac:dyDescent="0.25">
      <c r="A28" s="66" t="s">
        <v>35</v>
      </c>
      <c r="B28" s="66" t="s">
        <v>316</v>
      </c>
      <c r="C28" s="3" t="s">
        <v>164</v>
      </c>
      <c r="D28" s="66" t="s">
        <v>13</v>
      </c>
      <c r="E28" s="32">
        <f>E31+E32</f>
        <v>1238</v>
      </c>
    </row>
    <row r="29" spans="1:5" x14ac:dyDescent="0.25">
      <c r="A29" s="87" t="s">
        <v>30</v>
      </c>
      <c r="B29" s="87"/>
      <c r="C29" s="87"/>
      <c r="D29" s="87"/>
      <c r="E29" s="87"/>
    </row>
    <row r="30" spans="1:5" x14ac:dyDescent="0.25">
      <c r="A30" s="2" t="s">
        <v>31</v>
      </c>
      <c r="B30" s="2"/>
      <c r="C30" s="87" t="s">
        <v>32</v>
      </c>
      <c r="D30" s="87"/>
      <c r="E30" s="87"/>
    </row>
    <row r="31" spans="1:5" ht="45" x14ac:dyDescent="0.25">
      <c r="A31" s="66" t="s">
        <v>157</v>
      </c>
      <c r="B31" s="66" t="s">
        <v>325</v>
      </c>
      <c r="C31" s="3" t="s">
        <v>192</v>
      </c>
      <c r="D31" s="66" t="s">
        <v>13</v>
      </c>
      <c r="E31" s="5">
        <f>E6*2*1000</f>
        <v>1074</v>
      </c>
    </row>
    <row r="32" spans="1:5" ht="60" x14ac:dyDescent="0.25">
      <c r="A32" s="66" t="s">
        <v>18</v>
      </c>
      <c r="B32" s="66" t="s">
        <v>325</v>
      </c>
      <c r="C32" s="3" t="s">
        <v>134</v>
      </c>
      <c r="D32" s="66" t="s">
        <v>13</v>
      </c>
      <c r="E32" s="5">
        <f>41*4</f>
        <v>164</v>
      </c>
    </row>
    <row r="33" spans="1:5" ht="30" x14ac:dyDescent="0.25">
      <c r="A33" s="66" t="s">
        <v>24</v>
      </c>
      <c r="B33" s="66" t="s">
        <v>325</v>
      </c>
      <c r="C33" s="3" t="s">
        <v>73</v>
      </c>
      <c r="D33" s="66" t="s">
        <v>51</v>
      </c>
      <c r="E33" s="5">
        <f>(E31+E32)*0.05*1.03</f>
        <v>63.757000000000005</v>
      </c>
    </row>
    <row r="34" spans="1:5" x14ac:dyDescent="0.25">
      <c r="A34" s="87" t="s">
        <v>34</v>
      </c>
      <c r="B34" s="87"/>
      <c r="C34" s="87"/>
      <c r="D34" s="87"/>
      <c r="E34" s="87"/>
    </row>
    <row r="35" spans="1:5" x14ac:dyDescent="0.25">
      <c r="A35" s="2" t="s">
        <v>35</v>
      </c>
      <c r="B35" s="2"/>
      <c r="C35" s="87" t="s">
        <v>70</v>
      </c>
      <c r="D35" s="87"/>
      <c r="E35" s="87"/>
    </row>
    <row r="36" spans="1:5" ht="17.25" x14ac:dyDescent="0.25">
      <c r="A36" s="66" t="s">
        <v>157</v>
      </c>
      <c r="B36" s="66" t="s">
        <v>318</v>
      </c>
      <c r="C36" s="3" t="s">
        <v>71</v>
      </c>
      <c r="D36" s="66" t="s">
        <v>13</v>
      </c>
      <c r="E36" s="5">
        <f>E31+E32</f>
        <v>1238</v>
      </c>
    </row>
    <row r="37" spans="1:5" ht="17.25" x14ac:dyDescent="0.25">
      <c r="A37" s="66" t="s">
        <v>18</v>
      </c>
      <c r="B37" s="66" t="s">
        <v>151</v>
      </c>
      <c r="C37" s="3" t="s">
        <v>152</v>
      </c>
      <c r="D37" s="66" t="s">
        <v>13</v>
      </c>
      <c r="E37" s="32">
        <f>E6*0.5*1000*2</f>
        <v>537</v>
      </c>
    </row>
    <row r="38" spans="1:5" ht="18" x14ac:dyDescent="0.25">
      <c r="A38" s="66" t="s">
        <v>24</v>
      </c>
      <c r="B38" s="66" t="s">
        <v>294</v>
      </c>
      <c r="C38" s="3" t="s">
        <v>295</v>
      </c>
      <c r="D38" s="66" t="s">
        <v>13</v>
      </c>
      <c r="E38" s="32">
        <v>10</v>
      </c>
    </row>
    <row r="39" spans="1:5" x14ac:dyDescent="0.25">
      <c r="A39" s="66" t="s">
        <v>27</v>
      </c>
      <c r="B39" s="66" t="s">
        <v>68</v>
      </c>
      <c r="C39" s="3" t="s">
        <v>288</v>
      </c>
      <c r="D39" s="66" t="s">
        <v>15</v>
      </c>
      <c r="E39" s="32">
        <f>4.85</f>
        <v>4.8499999999999996</v>
      </c>
    </row>
    <row r="40" spans="1:5" x14ac:dyDescent="0.25">
      <c r="A40" s="87" t="s">
        <v>72</v>
      </c>
      <c r="B40" s="87"/>
      <c r="C40" s="87"/>
      <c r="D40" s="87"/>
      <c r="E40" s="87"/>
    </row>
    <row r="41" spans="1:5" x14ac:dyDescent="0.25">
      <c r="A41" s="2" t="s">
        <v>42</v>
      </c>
      <c r="B41" s="2"/>
      <c r="C41" s="87" t="s">
        <v>36</v>
      </c>
      <c r="D41" s="87"/>
      <c r="E41" s="87"/>
    </row>
    <row r="42" spans="1:5" x14ac:dyDescent="0.25">
      <c r="A42" s="2"/>
      <c r="B42" s="2"/>
      <c r="C42" s="87" t="s">
        <v>39</v>
      </c>
      <c r="D42" s="87"/>
      <c r="E42" s="87"/>
    </row>
    <row r="43" spans="1:5" x14ac:dyDescent="0.25">
      <c r="A43" s="80"/>
      <c r="B43" s="80" t="s">
        <v>40</v>
      </c>
      <c r="C43" s="35" t="s">
        <v>163</v>
      </c>
      <c r="D43" s="62"/>
      <c r="E43" s="5"/>
    </row>
    <row r="44" spans="1:5" x14ac:dyDescent="0.25">
      <c r="A44" s="80" t="s">
        <v>157</v>
      </c>
      <c r="B44" s="80"/>
      <c r="C44" s="35" t="s">
        <v>220</v>
      </c>
      <c r="D44" s="80" t="s">
        <v>12</v>
      </c>
      <c r="E44" s="80" t="s">
        <v>157</v>
      </c>
    </row>
    <row r="45" spans="1:5" x14ac:dyDescent="0.25">
      <c r="A45" s="80" t="s">
        <v>18</v>
      </c>
      <c r="B45" s="79"/>
      <c r="C45" s="35" t="s">
        <v>212</v>
      </c>
      <c r="D45" s="80" t="s">
        <v>12</v>
      </c>
      <c r="E45" s="80" t="s">
        <v>157</v>
      </c>
    </row>
    <row r="46" spans="1:5" x14ac:dyDescent="0.25">
      <c r="A46" s="87" t="s">
        <v>41</v>
      </c>
      <c r="B46" s="87"/>
      <c r="C46" s="87"/>
      <c r="D46" s="87"/>
      <c r="E46" s="87"/>
    </row>
    <row r="47" spans="1:5" x14ac:dyDescent="0.25">
      <c r="A47" s="2" t="s">
        <v>47</v>
      </c>
      <c r="B47" s="2"/>
      <c r="C47" s="87" t="s">
        <v>43</v>
      </c>
      <c r="D47" s="87"/>
      <c r="E47" s="87"/>
    </row>
    <row r="48" spans="1:5" ht="45" x14ac:dyDescent="0.25">
      <c r="A48" s="66" t="s">
        <v>157</v>
      </c>
      <c r="B48" s="66" t="s">
        <v>328</v>
      </c>
      <c r="C48" s="8" t="s">
        <v>143</v>
      </c>
      <c r="D48" s="66" t="s">
        <v>15</v>
      </c>
      <c r="E48" s="5">
        <v>24.88</v>
      </c>
    </row>
    <row r="49" spans="1:7" ht="30" x14ac:dyDescent="0.25">
      <c r="A49" s="66" t="s">
        <v>18</v>
      </c>
      <c r="B49" s="66" t="s">
        <v>44</v>
      </c>
      <c r="C49" s="3" t="s">
        <v>45</v>
      </c>
      <c r="D49" s="66" t="s">
        <v>15</v>
      </c>
      <c r="E49" s="32">
        <f>E6*2*1000</f>
        <v>1074</v>
      </c>
    </row>
    <row r="50" spans="1:7" x14ac:dyDescent="0.25">
      <c r="A50" s="63" t="s">
        <v>24</v>
      </c>
      <c r="B50" s="66" t="s">
        <v>289</v>
      </c>
      <c r="C50" s="3" t="s">
        <v>290</v>
      </c>
      <c r="D50" s="63" t="s">
        <v>15</v>
      </c>
      <c r="E50" s="32">
        <f>41.23+12.72+9.81+12.44+69.41</f>
        <v>145.61000000000001</v>
      </c>
    </row>
    <row r="51" spans="1:7" x14ac:dyDescent="0.25">
      <c r="A51" s="87" t="s">
        <v>46</v>
      </c>
      <c r="B51" s="87"/>
      <c r="C51" s="87"/>
      <c r="D51" s="87"/>
      <c r="E51" s="87"/>
    </row>
    <row r="52" spans="1:7" x14ac:dyDescent="0.25">
      <c r="A52" s="88" t="s">
        <v>54</v>
      </c>
      <c r="B52" s="89"/>
      <c r="C52" s="89"/>
      <c r="D52" s="89"/>
      <c r="E52" s="89"/>
      <c r="G52" s="82"/>
    </row>
    <row r="53" spans="1:7" x14ac:dyDescent="0.25">
      <c r="A53" s="90" t="s">
        <v>55</v>
      </c>
      <c r="B53" s="91"/>
      <c r="C53" s="91"/>
      <c r="D53" s="91"/>
      <c r="E53" s="91"/>
      <c r="G53" s="82"/>
    </row>
    <row r="54" spans="1:7" x14ac:dyDescent="0.25">
      <c r="A54" s="92" t="s">
        <v>56</v>
      </c>
      <c r="B54" s="93"/>
      <c r="C54" s="93"/>
      <c r="D54" s="93"/>
      <c r="E54" s="93"/>
      <c r="G54" s="82"/>
    </row>
  </sheetData>
  <mergeCells count="24">
    <mergeCell ref="A1:E1"/>
    <mergeCell ref="A2:E2"/>
    <mergeCell ref="C4:E4"/>
    <mergeCell ref="A5:A6"/>
    <mergeCell ref="B5:B6"/>
    <mergeCell ref="A12:E12"/>
    <mergeCell ref="C13:E13"/>
    <mergeCell ref="A18:E18"/>
    <mergeCell ref="C19:E19"/>
    <mergeCell ref="A22:E22"/>
    <mergeCell ref="C23:E23"/>
    <mergeCell ref="A29:E29"/>
    <mergeCell ref="C30:E30"/>
    <mergeCell ref="A34:E34"/>
    <mergeCell ref="C35:E35"/>
    <mergeCell ref="A40:E40"/>
    <mergeCell ref="A52:E52"/>
    <mergeCell ref="A53:E53"/>
    <mergeCell ref="A54:E54"/>
    <mergeCell ref="C47:E47"/>
    <mergeCell ref="A51:E51"/>
    <mergeCell ref="C41:E41"/>
    <mergeCell ref="C42:E42"/>
    <mergeCell ref="A46:E46"/>
  </mergeCells>
  <pageMargins left="0.7" right="0.7" top="0.75" bottom="0.75" header="0.3" footer="0.3"/>
  <pageSetup paperSize="9" scale="73" orientation="portrait" r:id="rId1"/>
  <rowBreaks count="1" manualBreakCount="1">
    <brk id="34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zoomScaleNormal="100" workbookViewId="0">
      <selection activeCell="A2" sqref="A2:XFD2"/>
    </sheetView>
  </sheetViews>
  <sheetFormatPr defaultRowHeight="15" x14ac:dyDescent="0.25"/>
  <cols>
    <col min="2" max="2" width="11.85546875" customWidth="1"/>
    <col min="3" max="3" width="45.28515625" customWidth="1"/>
    <col min="5" max="5" width="9.28515625" customWidth="1"/>
    <col min="7" max="7" width="13.140625" customWidth="1"/>
  </cols>
  <sheetData>
    <row r="1" spans="1:5" ht="81" customHeight="1" x14ac:dyDescent="0.25">
      <c r="A1" s="94" t="s">
        <v>182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(1117-74)/1000</f>
        <v>1.0429999999999999</v>
      </c>
    </row>
    <row r="7" spans="1:5" x14ac:dyDescent="0.25">
      <c r="A7" s="66"/>
      <c r="B7" s="66" t="s">
        <v>11</v>
      </c>
      <c r="C7" s="3" t="s">
        <v>58</v>
      </c>
      <c r="D7" s="66"/>
      <c r="E7" s="6"/>
    </row>
    <row r="8" spans="1:5" ht="45" x14ac:dyDescent="0.25">
      <c r="A8" s="66" t="s">
        <v>18</v>
      </c>
      <c r="B8" s="66"/>
      <c r="C8" s="3" t="s">
        <v>126</v>
      </c>
      <c r="D8" s="29" t="s">
        <v>12</v>
      </c>
      <c r="E8" s="6">
        <f>wycinka!L82+wycinka!L83+wycinka!L84+wycinka!L85+wycinka!L86+wycinka!L89+wycinka!L90+wycinka!L91+wycinka!L92+wycinka!L93+wycinka!L94+wycinka!L95+wycinka!L96+wycinka!L97+wycinka!L98+wycinka!L108+wycinka!L109+wycinka!L110+wycinka!L111+wycinka!L112+wycinka!L115+wycinka!L116+wycinka!L117+wycinka!L118+wycinka!L119+wycinka!L120+wycinka!L121+wycinka!L122+wycinka!L123+wycinka!L125+wycinka!L127+wycinka!L128+wycinka!L137</f>
        <v>33</v>
      </c>
    </row>
    <row r="9" spans="1:5" ht="45" x14ac:dyDescent="0.25">
      <c r="A9" s="66" t="s">
        <v>24</v>
      </c>
      <c r="B9" s="66"/>
      <c r="C9" s="3" t="s">
        <v>127</v>
      </c>
      <c r="D9" s="29" t="s">
        <v>12</v>
      </c>
      <c r="E9" s="6">
        <f>wycinka!L126+wycinka!L129+wycinka!L130+wycinka!L132+wycinka!L133+wycinka!L134+wycinka!L135</f>
        <v>7</v>
      </c>
    </row>
    <row r="10" spans="1:5" ht="45" x14ac:dyDescent="0.25">
      <c r="A10" s="66" t="s">
        <v>27</v>
      </c>
      <c r="B10" s="66"/>
      <c r="C10" s="3" t="s">
        <v>128</v>
      </c>
      <c r="D10" s="29" t="s">
        <v>12</v>
      </c>
      <c r="E10" s="6">
        <f>wycinka!L124+wycinka!L131</f>
        <v>2</v>
      </c>
    </row>
    <row r="11" spans="1:5" ht="45" x14ac:dyDescent="0.25">
      <c r="A11" s="66" t="s">
        <v>31</v>
      </c>
      <c r="B11" s="66" t="s">
        <v>14</v>
      </c>
      <c r="C11" s="3" t="s">
        <v>144</v>
      </c>
      <c r="D11" s="66" t="s">
        <v>21</v>
      </c>
      <c r="E11" s="6">
        <v>618.75</v>
      </c>
    </row>
    <row r="12" spans="1:5" x14ac:dyDescent="0.25">
      <c r="A12" s="66" t="s">
        <v>35</v>
      </c>
      <c r="B12" s="66" t="s">
        <v>14</v>
      </c>
      <c r="C12" s="3" t="s">
        <v>16</v>
      </c>
      <c r="D12" s="66" t="s">
        <v>15</v>
      </c>
      <c r="E12" s="7">
        <v>800.53</v>
      </c>
    </row>
    <row r="13" spans="1:5" x14ac:dyDescent="0.25">
      <c r="A13" s="66" t="s">
        <v>42</v>
      </c>
      <c r="B13" s="66" t="s">
        <v>14</v>
      </c>
      <c r="C13" s="3" t="s">
        <v>146</v>
      </c>
      <c r="D13" s="66" t="s">
        <v>15</v>
      </c>
      <c r="E13" s="7">
        <v>400</v>
      </c>
    </row>
    <row r="14" spans="1:5" ht="30" x14ac:dyDescent="0.25">
      <c r="A14" s="66" t="s">
        <v>47</v>
      </c>
      <c r="B14" s="66" t="s">
        <v>14</v>
      </c>
      <c r="C14" s="3" t="s">
        <v>75</v>
      </c>
      <c r="D14" s="66" t="s">
        <v>13</v>
      </c>
      <c r="E14" s="4">
        <f>E11</f>
        <v>618.75</v>
      </c>
    </row>
    <row r="15" spans="1:5" ht="60" x14ac:dyDescent="0.25">
      <c r="A15" s="66" t="s">
        <v>160</v>
      </c>
      <c r="B15" s="66" t="s">
        <v>14</v>
      </c>
      <c r="C15" s="3" t="s">
        <v>149</v>
      </c>
      <c r="D15" s="66" t="s">
        <v>21</v>
      </c>
      <c r="E15" s="4">
        <f>E14*0.15</f>
        <v>92.8125</v>
      </c>
    </row>
    <row r="16" spans="1:5" ht="17.25" x14ac:dyDescent="0.25">
      <c r="A16" s="66" t="s">
        <v>52</v>
      </c>
      <c r="B16" s="66" t="s">
        <v>14</v>
      </c>
      <c r="C16" s="3" t="s">
        <v>147</v>
      </c>
      <c r="D16" s="66" t="s">
        <v>13</v>
      </c>
      <c r="E16" s="4">
        <f>39.51+45.78+83.77+84.25+127.99+30.64+48.91+76.3+20.73</f>
        <v>557.88</v>
      </c>
    </row>
    <row r="17" spans="1:5" ht="60" x14ac:dyDescent="0.25">
      <c r="A17" s="66" t="s">
        <v>154</v>
      </c>
      <c r="B17" s="66" t="s">
        <v>14</v>
      </c>
      <c r="C17" s="3" t="s">
        <v>148</v>
      </c>
      <c r="D17" s="66" t="s">
        <v>21</v>
      </c>
      <c r="E17" s="4">
        <f>E16*0.2</f>
        <v>111.57600000000001</v>
      </c>
    </row>
    <row r="18" spans="1:5" x14ac:dyDescent="0.25">
      <c r="A18" s="87" t="s">
        <v>17</v>
      </c>
      <c r="B18" s="87"/>
      <c r="C18" s="87"/>
      <c r="D18" s="87"/>
      <c r="E18" s="87"/>
    </row>
    <row r="19" spans="1:5" x14ac:dyDescent="0.25">
      <c r="A19" s="2" t="s">
        <v>18</v>
      </c>
      <c r="B19" s="2"/>
      <c r="C19" s="87" t="s">
        <v>19</v>
      </c>
      <c r="D19" s="87"/>
      <c r="E19" s="87"/>
    </row>
    <row r="20" spans="1:5" x14ac:dyDescent="0.25">
      <c r="A20" s="66"/>
      <c r="B20" s="66" t="s">
        <v>20</v>
      </c>
      <c r="C20" s="3" t="s">
        <v>60</v>
      </c>
      <c r="D20" s="66"/>
      <c r="E20" s="7"/>
    </row>
    <row r="21" spans="1:5" ht="30" x14ac:dyDescent="0.25">
      <c r="A21" s="66" t="s">
        <v>157</v>
      </c>
      <c r="B21" s="66"/>
      <c r="C21" s="8" t="s">
        <v>61</v>
      </c>
      <c r="D21" s="66" t="s">
        <v>62</v>
      </c>
      <c r="E21" s="5">
        <v>2050.1999999999998</v>
      </c>
    </row>
    <row r="22" spans="1:5" x14ac:dyDescent="0.25">
      <c r="A22" s="66"/>
      <c r="B22" s="66" t="s">
        <v>22</v>
      </c>
      <c r="C22" s="3" t="s">
        <v>63</v>
      </c>
      <c r="D22" s="66"/>
      <c r="E22" s="5"/>
    </row>
    <row r="23" spans="1:5" ht="30" x14ac:dyDescent="0.25">
      <c r="A23" s="66" t="s">
        <v>18</v>
      </c>
      <c r="B23" s="66"/>
      <c r="C23" s="8" t="s">
        <v>64</v>
      </c>
      <c r="D23" s="9" t="s">
        <v>62</v>
      </c>
      <c r="E23" s="5">
        <v>370.2</v>
      </c>
    </row>
    <row r="24" spans="1:5" x14ac:dyDescent="0.25">
      <c r="A24" s="87" t="s">
        <v>23</v>
      </c>
      <c r="B24" s="87"/>
      <c r="C24" s="87"/>
      <c r="D24" s="87"/>
      <c r="E24" s="87"/>
    </row>
    <row r="25" spans="1:5" x14ac:dyDescent="0.25">
      <c r="A25" s="2" t="s">
        <v>24</v>
      </c>
      <c r="B25" s="2"/>
      <c r="C25" s="87" t="s">
        <v>25</v>
      </c>
      <c r="D25" s="87"/>
      <c r="E25" s="87"/>
    </row>
    <row r="26" spans="1:5" x14ac:dyDescent="0.25">
      <c r="A26" s="66" t="s">
        <v>157</v>
      </c>
      <c r="B26" s="66" t="s">
        <v>298</v>
      </c>
      <c r="C26" s="8" t="s">
        <v>299</v>
      </c>
      <c r="D26" s="5" t="s">
        <v>15</v>
      </c>
      <c r="E26" s="5" t="s">
        <v>300</v>
      </c>
    </row>
    <row r="27" spans="1:5" x14ac:dyDescent="0.25">
      <c r="A27" s="66" t="s">
        <v>18</v>
      </c>
      <c r="B27" s="66" t="s">
        <v>298</v>
      </c>
      <c r="C27" s="8" t="s">
        <v>299</v>
      </c>
      <c r="D27" s="5" t="s">
        <v>15</v>
      </c>
      <c r="E27" s="5" t="s">
        <v>301</v>
      </c>
    </row>
    <row r="28" spans="1:5" x14ac:dyDescent="0.25">
      <c r="A28" s="66" t="s">
        <v>24</v>
      </c>
      <c r="B28" s="66" t="s">
        <v>298</v>
      </c>
      <c r="C28" s="8" t="s">
        <v>284</v>
      </c>
      <c r="D28" s="5" t="s">
        <v>15</v>
      </c>
      <c r="E28" s="5">
        <f>7.6+10.32+8.27+7.59</f>
        <v>33.78</v>
      </c>
    </row>
    <row r="29" spans="1:5" x14ac:dyDescent="0.25">
      <c r="A29" s="66" t="s">
        <v>27</v>
      </c>
      <c r="B29" s="66" t="s">
        <v>296</v>
      </c>
      <c r="C29" s="8" t="s">
        <v>297</v>
      </c>
      <c r="D29" s="5" t="s">
        <v>15</v>
      </c>
      <c r="E29" s="5">
        <f>16.2+111.74+6.82+15.41+68.8+16.46+6.81+44.2+32.47+106.87+23.94+66.53</f>
        <v>516.25</v>
      </c>
    </row>
    <row r="30" spans="1:5" x14ac:dyDescent="0.25">
      <c r="A30" s="87" t="s">
        <v>26</v>
      </c>
      <c r="B30" s="87"/>
      <c r="C30" s="87"/>
      <c r="D30" s="87"/>
      <c r="E30" s="87"/>
    </row>
    <row r="31" spans="1:5" x14ac:dyDescent="0.25">
      <c r="A31" s="2" t="s">
        <v>27</v>
      </c>
      <c r="B31" s="2"/>
      <c r="C31" s="87" t="s">
        <v>28</v>
      </c>
      <c r="D31" s="87"/>
      <c r="E31" s="87"/>
    </row>
    <row r="32" spans="1:5" ht="45" x14ac:dyDescent="0.25">
      <c r="A32" s="66" t="s">
        <v>157</v>
      </c>
      <c r="B32" s="66" t="s">
        <v>65</v>
      </c>
      <c r="C32" s="8" t="s">
        <v>67</v>
      </c>
      <c r="D32" s="5" t="s">
        <v>66</v>
      </c>
      <c r="E32" s="32">
        <f>E45+E46+E50+E52+E53</f>
        <v>2448.39</v>
      </c>
    </row>
    <row r="33" spans="1:5" ht="45" x14ac:dyDescent="0.25">
      <c r="A33" s="66" t="s">
        <v>18</v>
      </c>
      <c r="B33" s="66" t="s">
        <v>65</v>
      </c>
      <c r="C33" s="8" t="s">
        <v>69</v>
      </c>
      <c r="D33" s="5" t="s">
        <v>66</v>
      </c>
      <c r="E33" s="32">
        <f>E45+E46+E50+E52+E53</f>
        <v>2448.39</v>
      </c>
    </row>
    <row r="34" spans="1:5" ht="30" x14ac:dyDescent="0.25">
      <c r="A34" s="66" t="s">
        <v>24</v>
      </c>
      <c r="B34" s="66" t="s">
        <v>29</v>
      </c>
      <c r="C34" s="3" t="s">
        <v>319</v>
      </c>
      <c r="D34" s="66" t="s">
        <v>13</v>
      </c>
      <c r="E34" s="32">
        <f>E45+E50+E52+E115+E53</f>
        <v>2957.0049999999997</v>
      </c>
    </row>
    <row r="35" spans="1:5" ht="30" x14ac:dyDescent="0.25">
      <c r="A35" s="66" t="s">
        <v>27</v>
      </c>
      <c r="B35" s="66" t="s">
        <v>29</v>
      </c>
      <c r="C35" s="3" t="s">
        <v>344</v>
      </c>
      <c r="D35" s="66" t="s">
        <v>13</v>
      </c>
      <c r="E35" s="32">
        <f>(36.48+40.89)*1.1</f>
        <v>85.107000000000014</v>
      </c>
    </row>
    <row r="36" spans="1:5" ht="30" x14ac:dyDescent="0.25">
      <c r="A36" s="66" t="s">
        <v>31</v>
      </c>
      <c r="B36" s="66" t="s">
        <v>324</v>
      </c>
      <c r="C36" s="3" t="s">
        <v>74</v>
      </c>
      <c r="D36" s="66" t="s">
        <v>13</v>
      </c>
      <c r="E36" s="32">
        <f>E45+E46</f>
        <v>2411</v>
      </c>
    </row>
    <row r="37" spans="1:5" ht="30" x14ac:dyDescent="0.25">
      <c r="A37" s="66" t="s">
        <v>35</v>
      </c>
      <c r="B37" s="66" t="s">
        <v>316</v>
      </c>
      <c r="C37" s="3" t="s">
        <v>164</v>
      </c>
      <c r="D37" s="66" t="s">
        <v>13</v>
      </c>
      <c r="E37" s="32">
        <f>E45+E46+E115</f>
        <v>3244.6149999999998</v>
      </c>
    </row>
    <row r="38" spans="1:5" ht="45" x14ac:dyDescent="0.25">
      <c r="A38" s="66" t="s">
        <v>42</v>
      </c>
      <c r="B38" s="66" t="s">
        <v>316</v>
      </c>
      <c r="C38" s="3" t="s">
        <v>333</v>
      </c>
      <c r="D38" s="66" t="s">
        <v>13</v>
      </c>
      <c r="E38" s="5">
        <f>(36.48+40.89)*1.1</f>
        <v>85.107000000000014</v>
      </c>
    </row>
    <row r="39" spans="1:5" ht="45" x14ac:dyDescent="0.25">
      <c r="A39" s="66" t="s">
        <v>47</v>
      </c>
      <c r="B39" s="66" t="s">
        <v>334</v>
      </c>
      <c r="C39" s="3" t="s">
        <v>340</v>
      </c>
      <c r="D39" s="66" t="s">
        <v>13</v>
      </c>
      <c r="E39" s="5">
        <f>(36.48+40.89)*1.1</f>
        <v>85.107000000000014</v>
      </c>
    </row>
    <row r="40" spans="1:5" ht="30" x14ac:dyDescent="0.25">
      <c r="A40" s="66" t="s">
        <v>160</v>
      </c>
      <c r="B40" s="66" t="s">
        <v>332</v>
      </c>
      <c r="C40" s="3" t="s">
        <v>341</v>
      </c>
      <c r="D40" s="66" t="s">
        <v>13</v>
      </c>
      <c r="E40" s="5">
        <f>(36.48+40.89)*1.1</f>
        <v>85.107000000000014</v>
      </c>
    </row>
    <row r="41" spans="1:5" x14ac:dyDescent="0.25">
      <c r="A41" s="87" t="s">
        <v>30</v>
      </c>
      <c r="B41" s="87"/>
      <c r="C41" s="87"/>
      <c r="D41" s="87"/>
      <c r="E41" s="87"/>
    </row>
    <row r="42" spans="1:5" x14ac:dyDescent="0.25">
      <c r="A42" s="2" t="s">
        <v>31</v>
      </c>
      <c r="B42" s="2"/>
      <c r="C42" s="87" t="s">
        <v>32</v>
      </c>
      <c r="D42" s="87"/>
      <c r="E42" s="87"/>
    </row>
    <row r="43" spans="1:5" ht="45" x14ac:dyDescent="0.25">
      <c r="A43" s="66" t="s">
        <v>157</v>
      </c>
      <c r="B43" s="66" t="s">
        <v>33</v>
      </c>
      <c r="C43" s="3" t="s">
        <v>342</v>
      </c>
      <c r="D43" s="66" t="s">
        <v>13</v>
      </c>
      <c r="E43" s="5">
        <f>(36.48+40.89)*1.1+120</f>
        <v>205.10700000000003</v>
      </c>
    </row>
    <row r="44" spans="1:5" ht="30" x14ac:dyDescent="0.25">
      <c r="A44" s="66" t="s">
        <v>18</v>
      </c>
      <c r="B44" s="66" t="s">
        <v>325</v>
      </c>
      <c r="C44" s="3" t="s">
        <v>343</v>
      </c>
      <c r="D44" s="66" t="s">
        <v>13</v>
      </c>
      <c r="E44" s="5">
        <f>(36.48+40.89)*1.1+120</f>
        <v>205.10700000000003</v>
      </c>
    </row>
    <row r="45" spans="1:5" ht="60" x14ac:dyDescent="0.25">
      <c r="A45" s="66" t="s">
        <v>24</v>
      </c>
      <c r="B45" s="66" t="s">
        <v>325</v>
      </c>
      <c r="C45" s="3" t="s">
        <v>192</v>
      </c>
      <c r="D45" s="66" t="s">
        <v>13</v>
      </c>
      <c r="E45" s="5">
        <f>E6*1000*2</f>
        <v>2086</v>
      </c>
    </row>
    <row r="46" spans="1:5" ht="60" x14ac:dyDescent="0.25">
      <c r="A46" s="66" t="s">
        <v>27</v>
      </c>
      <c r="B46" s="66" t="s">
        <v>325</v>
      </c>
      <c r="C46" s="3" t="s">
        <v>134</v>
      </c>
      <c r="D46" s="66" t="s">
        <v>13</v>
      </c>
      <c r="E46" s="5">
        <f>13*25</f>
        <v>325</v>
      </c>
    </row>
    <row r="47" spans="1:5" ht="30" x14ac:dyDescent="0.25">
      <c r="A47" s="66" t="s">
        <v>31</v>
      </c>
      <c r="B47" s="66" t="s">
        <v>325</v>
      </c>
      <c r="C47" s="3" t="s">
        <v>73</v>
      </c>
      <c r="D47" s="66" t="s">
        <v>51</v>
      </c>
      <c r="E47" s="5">
        <f>(E45+E46)*0.05*1.03</f>
        <v>124.16650000000001</v>
      </c>
    </row>
    <row r="48" spans="1:5" x14ac:dyDescent="0.25">
      <c r="A48" s="66" t="s">
        <v>35</v>
      </c>
      <c r="B48" s="66" t="s">
        <v>308</v>
      </c>
      <c r="C48" s="3" t="s">
        <v>307</v>
      </c>
      <c r="D48" s="66" t="s">
        <v>15</v>
      </c>
      <c r="E48" s="5">
        <f>120</f>
        <v>120</v>
      </c>
    </row>
    <row r="49" spans="1:5" x14ac:dyDescent="0.25">
      <c r="A49" s="66" t="s">
        <v>42</v>
      </c>
      <c r="B49" s="66" t="s">
        <v>331</v>
      </c>
      <c r="C49" s="3" t="s">
        <v>130</v>
      </c>
      <c r="D49" s="66"/>
      <c r="E49" s="5"/>
    </row>
    <row r="50" spans="1:5" ht="60" x14ac:dyDescent="0.25">
      <c r="A50" s="66" t="s">
        <v>47</v>
      </c>
      <c r="B50" s="66" t="s">
        <v>129</v>
      </c>
      <c r="C50" s="8" t="s">
        <v>150</v>
      </c>
      <c r="D50" s="66" t="s">
        <v>66</v>
      </c>
      <c r="E50" s="5">
        <v>7.87</v>
      </c>
    </row>
    <row r="51" spans="1:5" ht="60" x14ac:dyDescent="0.25">
      <c r="A51" s="66" t="s">
        <v>160</v>
      </c>
      <c r="B51" s="66" t="s">
        <v>337</v>
      </c>
      <c r="C51" s="8" t="s">
        <v>339</v>
      </c>
      <c r="D51" s="66" t="s">
        <v>66</v>
      </c>
      <c r="E51" s="5">
        <v>92</v>
      </c>
    </row>
    <row r="52" spans="1:5" ht="45" x14ac:dyDescent="0.25">
      <c r="A52" s="66" t="s">
        <v>52</v>
      </c>
      <c r="B52" s="66" t="s">
        <v>337</v>
      </c>
      <c r="C52" s="8" t="s">
        <v>336</v>
      </c>
      <c r="D52" s="66" t="s">
        <v>66</v>
      </c>
      <c r="E52" s="5">
        <v>20.329999999999998</v>
      </c>
    </row>
    <row r="53" spans="1:5" ht="45" x14ac:dyDescent="0.25">
      <c r="A53" s="66" t="s">
        <v>154</v>
      </c>
      <c r="B53" s="66" t="s">
        <v>337</v>
      </c>
      <c r="C53" s="8" t="s">
        <v>338</v>
      </c>
      <c r="D53" s="66" t="s">
        <v>66</v>
      </c>
      <c r="E53" s="5">
        <v>9.19</v>
      </c>
    </row>
    <row r="54" spans="1:5" ht="30" x14ac:dyDescent="0.25">
      <c r="A54" s="66" t="s">
        <v>161</v>
      </c>
      <c r="B54" s="66" t="s">
        <v>306</v>
      </c>
      <c r="C54" s="8" t="s">
        <v>309</v>
      </c>
      <c r="D54" s="66" t="s">
        <v>66</v>
      </c>
      <c r="E54" s="5">
        <f>60*2*2</f>
        <v>240</v>
      </c>
    </row>
    <row r="55" spans="1:5" x14ac:dyDescent="0.25">
      <c r="A55" s="87" t="s">
        <v>34</v>
      </c>
      <c r="B55" s="87"/>
      <c r="C55" s="87"/>
      <c r="D55" s="87"/>
      <c r="E55" s="87"/>
    </row>
    <row r="56" spans="1:5" x14ac:dyDescent="0.25">
      <c r="A56" s="2" t="s">
        <v>35</v>
      </c>
      <c r="B56" s="2"/>
      <c r="C56" s="87" t="s">
        <v>70</v>
      </c>
      <c r="D56" s="87"/>
      <c r="E56" s="87"/>
    </row>
    <row r="57" spans="1:5" x14ac:dyDescent="0.25">
      <c r="A57" s="66" t="s">
        <v>157</v>
      </c>
      <c r="B57" s="66" t="s">
        <v>68</v>
      </c>
      <c r="C57" s="3" t="s">
        <v>288</v>
      </c>
      <c r="D57" s="66" t="s">
        <v>15</v>
      </c>
      <c r="E57" s="32">
        <f>5.02+5.88+5.05</f>
        <v>15.95</v>
      </c>
    </row>
    <row r="58" spans="1:5" ht="17.25" x14ac:dyDescent="0.25">
      <c r="A58" s="66" t="s">
        <v>18</v>
      </c>
      <c r="B58" s="66" t="s">
        <v>153</v>
      </c>
      <c r="C58" s="3" t="s">
        <v>335</v>
      </c>
      <c r="D58" s="66" t="s">
        <v>13</v>
      </c>
      <c r="E58" s="32">
        <f>27.87+53.54*1.15</f>
        <v>89.440999999999988</v>
      </c>
    </row>
    <row r="59" spans="1:5" ht="36" x14ac:dyDescent="0.25">
      <c r="A59" s="66" t="s">
        <v>24</v>
      </c>
      <c r="B59" s="66" t="s">
        <v>294</v>
      </c>
      <c r="C59" s="3" t="s">
        <v>305</v>
      </c>
      <c r="D59" s="66" t="s">
        <v>13</v>
      </c>
      <c r="E59" s="32">
        <v>12</v>
      </c>
    </row>
    <row r="60" spans="1:5" ht="17.25" x14ac:dyDescent="0.25">
      <c r="A60" s="66" t="s">
        <v>27</v>
      </c>
      <c r="B60" s="66" t="s">
        <v>318</v>
      </c>
      <c r="C60" s="3" t="s">
        <v>71</v>
      </c>
      <c r="D60" s="66" t="s">
        <v>13</v>
      </c>
      <c r="E60" s="5">
        <f>E45+E46+E50+E44</f>
        <v>2623.9769999999999</v>
      </c>
    </row>
    <row r="61" spans="1:5" ht="17.25" x14ac:dyDescent="0.25">
      <c r="A61" s="66" t="s">
        <v>31</v>
      </c>
      <c r="B61" s="66" t="s">
        <v>151</v>
      </c>
      <c r="C61" s="3" t="s">
        <v>152</v>
      </c>
      <c r="D61" s="66" t="s">
        <v>13</v>
      </c>
      <c r="E61" s="32">
        <f>E6*0.5*2*1000</f>
        <v>1043</v>
      </c>
    </row>
    <row r="62" spans="1:5" x14ac:dyDescent="0.25">
      <c r="A62" s="66" t="s">
        <v>35</v>
      </c>
      <c r="B62" s="66" t="s">
        <v>282</v>
      </c>
      <c r="C62" s="3" t="s">
        <v>285</v>
      </c>
      <c r="D62" s="66" t="s">
        <v>15</v>
      </c>
      <c r="E62" s="32">
        <f>82.3+32.93+28.06+13.42+24.82+3.02</f>
        <v>184.54999999999998</v>
      </c>
    </row>
    <row r="63" spans="1:5" x14ac:dyDescent="0.25">
      <c r="A63" s="87" t="s">
        <v>72</v>
      </c>
      <c r="B63" s="87"/>
      <c r="C63" s="87"/>
      <c r="D63" s="87"/>
      <c r="E63" s="87"/>
    </row>
    <row r="64" spans="1:5" x14ac:dyDescent="0.25">
      <c r="A64" s="2" t="s">
        <v>42</v>
      </c>
      <c r="B64" s="2"/>
      <c r="C64" s="87" t="s">
        <v>36</v>
      </c>
      <c r="D64" s="87"/>
      <c r="E64" s="87"/>
    </row>
    <row r="65" spans="1:5" x14ac:dyDescent="0.25">
      <c r="A65" s="2"/>
      <c r="B65" s="2"/>
      <c r="C65" s="87" t="s">
        <v>39</v>
      </c>
      <c r="D65" s="87"/>
      <c r="E65" s="87"/>
    </row>
    <row r="66" spans="1:5" x14ac:dyDescent="0.25">
      <c r="A66" s="66"/>
      <c r="B66" s="66" t="s">
        <v>40</v>
      </c>
      <c r="C66" s="35" t="s">
        <v>163</v>
      </c>
      <c r="D66" s="62"/>
      <c r="E66" s="6"/>
    </row>
    <row r="67" spans="1:5" x14ac:dyDescent="0.25">
      <c r="A67" s="80" t="s">
        <v>157</v>
      </c>
      <c r="B67" s="66"/>
      <c r="C67" s="35" t="s">
        <v>225</v>
      </c>
      <c r="D67" s="80" t="s">
        <v>12</v>
      </c>
      <c r="E67" s="80" t="s">
        <v>157</v>
      </c>
    </row>
    <row r="68" spans="1:5" s="84" customFormat="1" x14ac:dyDescent="0.25">
      <c r="A68" s="80" t="s">
        <v>18</v>
      </c>
      <c r="B68" s="83"/>
      <c r="C68" s="35" t="s">
        <v>196</v>
      </c>
      <c r="D68" s="80" t="s">
        <v>12</v>
      </c>
      <c r="E68" s="80" t="s">
        <v>24</v>
      </c>
    </row>
    <row r="69" spans="1:5" x14ac:dyDescent="0.25">
      <c r="A69" s="80" t="s">
        <v>24</v>
      </c>
      <c r="B69" s="66"/>
      <c r="C69" s="35" t="s">
        <v>220</v>
      </c>
      <c r="D69" s="80" t="s">
        <v>12</v>
      </c>
      <c r="E69" s="80" t="s">
        <v>157</v>
      </c>
    </row>
    <row r="70" spans="1:5" x14ac:dyDescent="0.25">
      <c r="A70" s="80" t="s">
        <v>27</v>
      </c>
      <c r="B70" s="66"/>
      <c r="C70" s="35" t="s">
        <v>200</v>
      </c>
      <c r="D70" s="80" t="s">
        <v>12</v>
      </c>
      <c r="E70" s="80" t="s">
        <v>157</v>
      </c>
    </row>
    <row r="71" spans="1:5" x14ac:dyDescent="0.25">
      <c r="A71" s="80" t="s">
        <v>31</v>
      </c>
      <c r="B71" s="66"/>
      <c r="C71" s="35" t="s">
        <v>202</v>
      </c>
      <c r="D71" s="80" t="s">
        <v>12</v>
      </c>
      <c r="E71" s="80" t="s">
        <v>157</v>
      </c>
    </row>
    <row r="72" spans="1:5" x14ac:dyDescent="0.25">
      <c r="A72" s="80" t="s">
        <v>35</v>
      </c>
      <c r="B72" s="66"/>
      <c r="C72" s="35" t="s">
        <v>199</v>
      </c>
      <c r="D72" s="80" t="s">
        <v>12</v>
      </c>
      <c r="E72" s="80" t="s">
        <v>157</v>
      </c>
    </row>
    <row r="73" spans="1:5" x14ac:dyDescent="0.25">
      <c r="A73" s="80" t="s">
        <v>42</v>
      </c>
      <c r="B73" s="66"/>
      <c r="C73" s="35" t="s">
        <v>239</v>
      </c>
      <c r="D73" s="80" t="s">
        <v>12</v>
      </c>
      <c r="E73" s="80" t="s">
        <v>18</v>
      </c>
    </row>
    <row r="74" spans="1:5" x14ac:dyDescent="0.25">
      <c r="A74" s="80" t="s">
        <v>47</v>
      </c>
      <c r="B74" s="66"/>
      <c r="C74" s="35" t="s">
        <v>246</v>
      </c>
      <c r="D74" s="80" t="s">
        <v>12</v>
      </c>
      <c r="E74" s="80" t="s">
        <v>18</v>
      </c>
    </row>
    <row r="75" spans="1:5" x14ac:dyDescent="0.25">
      <c r="A75" s="80" t="s">
        <v>160</v>
      </c>
      <c r="B75" s="66"/>
      <c r="C75" s="35" t="s">
        <v>350</v>
      </c>
      <c r="D75" s="80" t="s">
        <v>12</v>
      </c>
      <c r="E75" s="80" t="s">
        <v>157</v>
      </c>
    </row>
    <row r="76" spans="1:5" x14ac:dyDescent="0.25">
      <c r="A76" s="80" t="s">
        <v>52</v>
      </c>
      <c r="B76" s="66"/>
      <c r="C76" s="35" t="s">
        <v>245</v>
      </c>
      <c r="D76" s="80" t="s">
        <v>12</v>
      </c>
      <c r="E76" s="80" t="s">
        <v>157</v>
      </c>
    </row>
    <row r="77" spans="1:5" x14ac:dyDescent="0.25">
      <c r="A77" s="80" t="s">
        <v>154</v>
      </c>
      <c r="B77" s="80"/>
      <c r="C77" s="35" t="s">
        <v>351</v>
      </c>
      <c r="D77" s="80" t="s">
        <v>12</v>
      </c>
      <c r="E77" s="80" t="s">
        <v>18</v>
      </c>
    </row>
    <row r="78" spans="1:5" x14ac:dyDescent="0.25">
      <c r="A78" s="80" t="s">
        <v>161</v>
      </c>
      <c r="B78" s="80"/>
      <c r="C78" s="35" t="s">
        <v>352</v>
      </c>
      <c r="D78" s="80" t="s">
        <v>12</v>
      </c>
      <c r="E78" s="80" t="s">
        <v>18</v>
      </c>
    </row>
    <row r="79" spans="1:5" x14ac:dyDescent="0.25">
      <c r="A79" s="80" t="s">
        <v>162</v>
      </c>
      <c r="B79" s="80"/>
      <c r="C79" s="35" t="s">
        <v>353</v>
      </c>
      <c r="D79" s="80" t="s">
        <v>12</v>
      </c>
      <c r="E79" s="80" t="s">
        <v>27</v>
      </c>
    </row>
    <row r="80" spans="1:5" x14ac:dyDescent="0.25">
      <c r="A80" s="80" t="s">
        <v>210</v>
      </c>
      <c r="B80" s="66"/>
      <c r="C80" s="35" t="s">
        <v>247</v>
      </c>
      <c r="D80" s="80" t="s">
        <v>12</v>
      </c>
      <c r="E80" s="80" t="s">
        <v>157</v>
      </c>
    </row>
    <row r="81" spans="1:5" x14ac:dyDescent="0.25">
      <c r="A81" s="80" t="s">
        <v>201</v>
      </c>
      <c r="B81" s="66"/>
      <c r="C81" s="35" t="s">
        <v>248</v>
      </c>
      <c r="D81" s="80" t="s">
        <v>12</v>
      </c>
      <c r="E81" s="80" t="s">
        <v>27</v>
      </c>
    </row>
    <row r="82" spans="1:5" x14ac:dyDescent="0.25">
      <c r="A82" s="80" t="s">
        <v>310</v>
      </c>
      <c r="B82" s="66"/>
      <c r="C82" s="35" t="s">
        <v>249</v>
      </c>
      <c r="D82" s="66" t="s">
        <v>12</v>
      </c>
      <c r="E82" s="66" t="s">
        <v>18</v>
      </c>
    </row>
    <row r="83" spans="1:5" x14ac:dyDescent="0.25">
      <c r="A83" s="80" t="s">
        <v>311</v>
      </c>
      <c r="B83" s="80"/>
      <c r="C83" s="35" t="s">
        <v>348</v>
      </c>
      <c r="D83" s="80" t="s">
        <v>12</v>
      </c>
      <c r="E83" s="80" t="s">
        <v>18</v>
      </c>
    </row>
    <row r="84" spans="1:5" x14ac:dyDescent="0.25">
      <c r="A84" s="80" t="s">
        <v>312</v>
      </c>
      <c r="B84" s="66"/>
      <c r="C84" s="35" t="s">
        <v>250</v>
      </c>
      <c r="D84" s="66" t="s">
        <v>12</v>
      </c>
      <c r="E84" s="66" t="s">
        <v>157</v>
      </c>
    </row>
    <row r="85" spans="1:5" x14ac:dyDescent="0.25">
      <c r="A85" s="80" t="s">
        <v>313</v>
      </c>
      <c r="B85" s="66"/>
      <c r="C85" s="35" t="s">
        <v>251</v>
      </c>
      <c r="D85" s="66" t="s">
        <v>12</v>
      </c>
      <c r="E85" s="66" t="s">
        <v>157</v>
      </c>
    </row>
    <row r="86" spans="1:5" x14ac:dyDescent="0.25">
      <c r="A86" s="80" t="s">
        <v>314</v>
      </c>
      <c r="B86" s="66"/>
      <c r="C86" s="35" t="s">
        <v>252</v>
      </c>
      <c r="D86" s="66" t="s">
        <v>12</v>
      </c>
      <c r="E86" s="66" t="s">
        <v>18</v>
      </c>
    </row>
    <row r="87" spans="1:5" x14ac:dyDescent="0.25">
      <c r="A87" s="80" t="s">
        <v>315</v>
      </c>
      <c r="B87" s="66"/>
      <c r="C87" s="35" t="s">
        <v>253</v>
      </c>
      <c r="D87" s="66" t="s">
        <v>12</v>
      </c>
      <c r="E87" s="66" t="s">
        <v>18</v>
      </c>
    </row>
    <row r="88" spans="1:5" x14ac:dyDescent="0.25">
      <c r="A88" s="80" t="s">
        <v>213</v>
      </c>
      <c r="B88" s="80"/>
      <c r="C88" s="35" t="s">
        <v>349</v>
      </c>
      <c r="D88" s="80" t="s">
        <v>12</v>
      </c>
      <c r="E88" s="80" t="s">
        <v>157</v>
      </c>
    </row>
    <row r="89" spans="1:5" x14ac:dyDescent="0.25">
      <c r="A89" s="80" t="s">
        <v>355</v>
      </c>
      <c r="B89" s="80"/>
      <c r="C89" s="35" t="s">
        <v>354</v>
      </c>
      <c r="D89" s="80" t="s">
        <v>12</v>
      </c>
      <c r="E89" s="80" t="s">
        <v>18</v>
      </c>
    </row>
    <row r="90" spans="1:5" x14ac:dyDescent="0.25">
      <c r="A90" s="80" t="s">
        <v>356</v>
      </c>
      <c r="B90" s="66"/>
      <c r="C90" s="35" t="s">
        <v>212</v>
      </c>
      <c r="D90" s="66" t="s">
        <v>12</v>
      </c>
      <c r="E90" s="66" t="s">
        <v>161</v>
      </c>
    </row>
    <row r="91" spans="1:5" x14ac:dyDescent="0.25">
      <c r="A91" s="66"/>
      <c r="B91" s="2"/>
      <c r="C91" s="87" t="s">
        <v>37</v>
      </c>
      <c r="D91" s="87"/>
      <c r="E91" s="87"/>
    </row>
    <row r="92" spans="1:5" x14ac:dyDescent="0.25">
      <c r="A92" s="66"/>
      <c r="B92" s="66" t="s">
        <v>38</v>
      </c>
      <c r="C92" s="35" t="s">
        <v>163</v>
      </c>
      <c r="D92" s="62"/>
      <c r="E92" s="5"/>
    </row>
    <row r="93" spans="1:5" x14ac:dyDescent="0.25">
      <c r="A93" s="66" t="s">
        <v>157</v>
      </c>
      <c r="B93" s="66"/>
      <c r="C93" s="35" t="s">
        <v>221</v>
      </c>
      <c r="D93" s="66" t="s">
        <v>12</v>
      </c>
      <c r="E93" s="66" t="s">
        <v>42</v>
      </c>
    </row>
    <row r="94" spans="1:5" x14ac:dyDescent="0.25">
      <c r="A94" s="66" t="s">
        <v>18</v>
      </c>
      <c r="B94" s="66"/>
      <c r="C94" s="35" t="s">
        <v>254</v>
      </c>
      <c r="D94" s="66" t="s">
        <v>12</v>
      </c>
      <c r="E94" s="66" t="s">
        <v>157</v>
      </c>
    </row>
    <row r="95" spans="1:5" x14ac:dyDescent="0.25">
      <c r="A95" s="80" t="s">
        <v>24</v>
      </c>
      <c r="B95" s="66"/>
      <c r="C95" s="35" t="s">
        <v>255</v>
      </c>
      <c r="D95" s="66" t="s">
        <v>12</v>
      </c>
      <c r="E95" s="66" t="s">
        <v>157</v>
      </c>
    </row>
    <row r="96" spans="1:5" x14ac:dyDescent="0.25">
      <c r="A96" s="80" t="s">
        <v>27</v>
      </c>
      <c r="B96" s="66"/>
      <c r="C96" s="35" t="s">
        <v>256</v>
      </c>
      <c r="D96" s="66" t="s">
        <v>12</v>
      </c>
      <c r="E96" s="66" t="s">
        <v>24</v>
      </c>
    </row>
    <row r="97" spans="1:5" x14ac:dyDescent="0.25">
      <c r="A97" s="80" t="s">
        <v>31</v>
      </c>
      <c r="B97" s="66"/>
      <c r="C97" s="35" t="s">
        <v>257</v>
      </c>
      <c r="D97" s="66" t="s">
        <v>12</v>
      </c>
      <c r="E97" s="66" t="s">
        <v>157</v>
      </c>
    </row>
    <row r="98" spans="1:5" x14ac:dyDescent="0.25">
      <c r="A98" s="80" t="s">
        <v>35</v>
      </c>
      <c r="B98" s="66"/>
      <c r="C98" s="35" t="s">
        <v>258</v>
      </c>
      <c r="D98" s="66" t="s">
        <v>12</v>
      </c>
      <c r="E98" s="66" t="s">
        <v>18</v>
      </c>
    </row>
    <row r="99" spans="1:5" x14ac:dyDescent="0.25">
      <c r="A99" s="80" t="s">
        <v>42</v>
      </c>
      <c r="B99" s="66"/>
      <c r="C99" s="35" t="s">
        <v>259</v>
      </c>
      <c r="D99" s="66" t="s">
        <v>12</v>
      </c>
      <c r="E99" s="66" t="s">
        <v>157</v>
      </c>
    </row>
    <row r="100" spans="1:5" x14ac:dyDescent="0.25">
      <c r="A100" s="80" t="s">
        <v>47</v>
      </c>
      <c r="B100" s="66"/>
      <c r="C100" s="35" t="s">
        <v>260</v>
      </c>
      <c r="D100" s="66" t="s">
        <v>12</v>
      </c>
      <c r="E100" s="66" t="s">
        <v>157</v>
      </c>
    </row>
    <row r="101" spans="1:5" x14ac:dyDescent="0.25">
      <c r="A101" s="80" t="s">
        <v>160</v>
      </c>
      <c r="B101" s="80"/>
      <c r="C101" s="35" t="s">
        <v>357</v>
      </c>
      <c r="D101" s="80" t="s">
        <v>12</v>
      </c>
      <c r="E101" s="80" t="s">
        <v>18</v>
      </c>
    </row>
    <row r="102" spans="1:5" x14ac:dyDescent="0.25">
      <c r="A102" s="80" t="s">
        <v>52</v>
      </c>
      <c r="B102" s="66"/>
      <c r="C102" s="35" t="s">
        <v>261</v>
      </c>
      <c r="D102" s="66" t="s">
        <v>12</v>
      </c>
      <c r="E102" s="66" t="s">
        <v>157</v>
      </c>
    </row>
    <row r="103" spans="1:5" x14ac:dyDescent="0.25">
      <c r="A103" s="80" t="s">
        <v>154</v>
      </c>
      <c r="B103" s="66"/>
      <c r="C103" s="35" t="s">
        <v>262</v>
      </c>
      <c r="D103" s="66" t="s">
        <v>12</v>
      </c>
      <c r="E103" s="66" t="s">
        <v>157</v>
      </c>
    </row>
    <row r="104" spans="1:5" x14ac:dyDescent="0.25">
      <c r="A104" s="80" t="s">
        <v>161</v>
      </c>
      <c r="B104" s="66"/>
      <c r="C104" s="35" t="s">
        <v>263</v>
      </c>
      <c r="D104" s="66" t="s">
        <v>12</v>
      </c>
      <c r="E104" s="66" t="s">
        <v>157</v>
      </c>
    </row>
    <row r="105" spans="1:5" x14ac:dyDescent="0.25">
      <c r="A105" s="80" t="s">
        <v>162</v>
      </c>
      <c r="B105" s="66"/>
      <c r="C105" s="35" t="s">
        <v>264</v>
      </c>
      <c r="D105" s="66" t="s">
        <v>12</v>
      </c>
      <c r="E105" s="66" t="s">
        <v>157</v>
      </c>
    </row>
    <row r="106" spans="1:5" x14ac:dyDescent="0.25">
      <c r="A106" s="80" t="s">
        <v>210</v>
      </c>
      <c r="B106" s="66"/>
      <c r="C106" s="35" t="s">
        <v>265</v>
      </c>
      <c r="D106" s="66" t="s">
        <v>12</v>
      </c>
      <c r="E106" s="66" t="s">
        <v>157</v>
      </c>
    </row>
    <row r="107" spans="1:5" x14ac:dyDescent="0.25">
      <c r="A107" s="80" t="s">
        <v>201</v>
      </c>
      <c r="B107" s="66"/>
      <c r="C107" s="35" t="s">
        <v>266</v>
      </c>
      <c r="D107" s="66" t="s">
        <v>12</v>
      </c>
      <c r="E107" s="66" t="s">
        <v>157</v>
      </c>
    </row>
    <row r="108" spans="1:5" x14ac:dyDescent="0.25">
      <c r="A108" s="80" t="s">
        <v>310</v>
      </c>
      <c r="B108" s="66"/>
      <c r="C108" s="35" t="s">
        <v>208</v>
      </c>
      <c r="D108" s="66" t="s">
        <v>12</v>
      </c>
      <c r="E108" s="66" t="s">
        <v>18</v>
      </c>
    </row>
    <row r="109" spans="1:5" x14ac:dyDescent="0.25">
      <c r="A109" s="80" t="s">
        <v>311</v>
      </c>
      <c r="B109" s="66"/>
      <c r="C109" s="35" t="s">
        <v>267</v>
      </c>
      <c r="D109" s="66" t="s">
        <v>12</v>
      </c>
      <c r="E109" s="66" t="s">
        <v>157</v>
      </c>
    </row>
    <row r="110" spans="1:5" x14ac:dyDescent="0.25">
      <c r="A110" s="80" t="s">
        <v>312</v>
      </c>
      <c r="B110" s="66"/>
      <c r="C110" s="35" t="s">
        <v>268</v>
      </c>
      <c r="D110" s="66" t="s">
        <v>12</v>
      </c>
      <c r="E110" s="66" t="s">
        <v>157</v>
      </c>
    </row>
    <row r="111" spans="1:5" x14ac:dyDescent="0.25">
      <c r="A111" s="80" t="s">
        <v>313</v>
      </c>
      <c r="B111" s="66"/>
      <c r="C111" s="35" t="s">
        <v>269</v>
      </c>
      <c r="D111" s="66" t="s">
        <v>12</v>
      </c>
      <c r="E111" s="66" t="s">
        <v>157</v>
      </c>
    </row>
    <row r="112" spans="1:5" x14ac:dyDescent="0.25">
      <c r="A112" s="87" t="s">
        <v>41</v>
      </c>
      <c r="B112" s="87"/>
      <c r="C112" s="87"/>
      <c r="D112" s="87"/>
      <c r="E112" s="87"/>
    </row>
    <row r="113" spans="1:7" x14ac:dyDescent="0.25">
      <c r="A113" s="2" t="s">
        <v>47</v>
      </c>
      <c r="B113" s="2"/>
      <c r="C113" s="87" t="s">
        <v>43</v>
      </c>
      <c r="D113" s="87"/>
      <c r="E113" s="87"/>
    </row>
    <row r="114" spans="1:7" ht="45" x14ac:dyDescent="0.25">
      <c r="A114" s="66" t="s">
        <v>157</v>
      </c>
      <c r="B114" s="66" t="s">
        <v>328</v>
      </c>
      <c r="C114" s="8" t="s">
        <v>143</v>
      </c>
      <c r="D114" s="66" t="s">
        <v>15</v>
      </c>
      <c r="E114" s="5">
        <v>532</v>
      </c>
    </row>
    <row r="115" spans="1:7" ht="17.25" x14ac:dyDescent="0.25">
      <c r="A115" s="66" t="s">
        <v>18</v>
      </c>
      <c r="B115" s="66" t="s">
        <v>327</v>
      </c>
      <c r="C115" s="3" t="s">
        <v>131</v>
      </c>
      <c r="D115" s="66" t="s">
        <v>13</v>
      </c>
      <c r="E115" s="5">
        <f>1.5*(140.64+306.69)+(25.41+17.55+119.66)</f>
        <v>833.61500000000001</v>
      </c>
    </row>
    <row r="116" spans="1:7" ht="30" x14ac:dyDescent="0.25">
      <c r="A116" s="66" t="s">
        <v>24</v>
      </c>
      <c r="B116" s="66" t="s">
        <v>44</v>
      </c>
      <c r="C116" s="3" t="s">
        <v>45</v>
      </c>
      <c r="D116" s="66" t="s">
        <v>15</v>
      </c>
      <c r="E116" s="32">
        <f>E6*1000*2</f>
        <v>2086</v>
      </c>
    </row>
    <row r="117" spans="1:7" x14ac:dyDescent="0.25">
      <c r="A117" s="66" t="s">
        <v>27</v>
      </c>
      <c r="B117" s="66" t="s">
        <v>289</v>
      </c>
      <c r="C117" s="3" t="s">
        <v>304</v>
      </c>
      <c r="D117" s="66" t="s">
        <v>15</v>
      </c>
      <c r="E117" s="32">
        <f>(1.77+1.08)*1.1</f>
        <v>3.1350000000000002</v>
      </c>
    </row>
    <row r="118" spans="1:7" x14ac:dyDescent="0.25">
      <c r="A118" s="66" t="s">
        <v>31</v>
      </c>
      <c r="B118" s="66" t="s">
        <v>302</v>
      </c>
      <c r="C118" s="3" t="s">
        <v>303</v>
      </c>
      <c r="D118" s="66" t="s">
        <v>15</v>
      </c>
      <c r="E118" s="32">
        <f>4.2+4.48</f>
        <v>8.68</v>
      </c>
    </row>
    <row r="119" spans="1:7" x14ac:dyDescent="0.25">
      <c r="A119" s="87" t="s">
        <v>46</v>
      </c>
      <c r="B119" s="87"/>
      <c r="C119" s="87"/>
      <c r="D119" s="87"/>
      <c r="E119" s="87"/>
    </row>
    <row r="120" spans="1:7" x14ac:dyDescent="0.25">
      <c r="A120" s="2" t="s">
        <v>47</v>
      </c>
      <c r="B120" s="2"/>
      <c r="C120" s="87" t="s">
        <v>48</v>
      </c>
      <c r="D120" s="87"/>
      <c r="E120" s="87"/>
    </row>
    <row r="121" spans="1:7" x14ac:dyDescent="0.25">
      <c r="A121" s="66" t="s">
        <v>157</v>
      </c>
      <c r="B121" s="66" t="s">
        <v>49</v>
      </c>
      <c r="C121" s="3" t="s">
        <v>159</v>
      </c>
      <c r="D121" s="66" t="s">
        <v>15</v>
      </c>
      <c r="E121" s="7">
        <v>165</v>
      </c>
    </row>
    <row r="122" spans="1:7" x14ac:dyDescent="0.25">
      <c r="A122" s="87" t="s">
        <v>50</v>
      </c>
      <c r="B122" s="87"/>
      <c r="C122" s="87"/>
      <c r="D122" s="87"/>
      <c r="E122" s="87"/>
    </row>
    <row r="123" spans="1:7" x14ac:dyDescent="0.25">
      <c r="A123" s="88" t="s">
        <v>54</v>
      </c>
      <c r="B123" s="89"/>
      <c r="C123" s="89"/>
      <c r="D123" s="89"/>
      <c r="E123" s="89"/>
      <c r="G123" s="31"/>
    </row>
    <row r="124" spans="1:7" x14ac:dyDescent="0.25">
      <c r="A124" s="90" t="s">
        <v>55</v>
      </c>
      <c r="B124" s="91"/>
      <c r="C124" s="91"/>
      <c r="D124" s="91"/>
      <c r="E124" s="91"/>
      <c r="G124" s="31"/>
    </row>
    <row r="125" spans="1:7" x14ac:dyDescent="0.25">
      <c r="A125" s="92" t="s">
        <v>56</v>
      </c>
      <c r="B125" s="93"/>
      <c r="C125" s="93"/>
      <c r="D125" s="93"/>
      <c r="E125" s="93"/>
      <c r="G125" s="31"/>
    </row>
  </sheetData>
  <mergeCells count="27">
    <mergeCell ref="C31:E31"/>
    <mergeCell ref="A41:E41"/>
    <mergeCell ref="C42:E42"/>
    <mergeCell ref="A18:E18"/>
    <mergeCell ref="C19:E19"/>
    <mergeCell ref="A24:E24"/>
    <mergeCell ref="C25:E25"/>
    <mergeCell ref="A30:E30"/>
    <mergeCell ref="A1:E1"/>
    <mergeCell ref="A2:E2"/>
    <mergeCell ref="C4:E4"/>
    <mergeCell ref="A5:A6"/>
    <mergeCell ref="B5:B6"/>
    <mergeCell ref="A55:E55"/>
    <mergeCell ref="C56:E56"/>
    <mergeCell ref="A63:E63"/>
    <mergeCell ref="A123:E123"/>
    <mergeCell ref="A124:E124"/>
    <mergeCell ref="C91:E91"/>
    <mergeCell ref="C64:E64"/>
    <mergeCell ref="A125:E125"/>
    <mergeCell ref="A122:E122"/>
    <mergeCell ref="C65:E65"/>
    <mergeCell ref="A112:E112"/>
    <mergeCell ref="C113:E113"/>
    <mergeCell ref="A119:E119"/>
    <mergeCell ref="C120:E120"/>
  </mergeCells>
  <pageMargins left="0.7" right="0.7" top="0.75" bottom="0.75" header="0.3" footer="0.3"/>
  <pageSetup paperSize="9" scale="80" orientation="portrait" r:id="rId1"/>
  <rowBreaks count="3" manualBreakCount="3">
    <brk id="30" max="6" man="1"/>
    <brk id="55" max="6" man="1"/>
    <brk id="112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>
      <selection activeCell="I9" sqref="I9"/>
    </sheetView>
  </sheetViews>
  <sheetFormatPr defaultRowHeight="15" x14ac:dyDescent="0.25"/>
  <cols>
    <col min="2" max="2" width="17.140625" customWidth="1"/>
    <col min="3" max="3" width="51" customWidth="1"/>
  </cols>
  <sheetData>
    <row r="1" spans="1:5" ht="72" customHeight="1" x14ac:dyDescent="0.25">
      <c r="A1" s="94" t="s">
        <v>183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104" t="s">
        <v>9</v>
      </c>
      <c r="C5" s="72" t="s">
        <v>57</v>
      </c>
      <c r="D5" s="34"/>
      <c r="E5" s="34"/>
    </row>
    <row r="6" spans="1:5" x14ac:dyDescent="0.25">
      <c r="A6" s="96"/>
      <c r="B6" s="104"/>
      <c r="C6" s="73" t="s">
        <v>184</v>
      </c>
      <c r="D6" s="33" t="s">
        <v>10</v>
      </c>
      <c r="E6" s="74">
        <f>1150/1000</f>
        <v>1.1499999999999999</v>
      </c>
    </row>
    <row r="7" spans="1:5" x14ac:dyDescent="0.25">
      <c r="A7" s="103" t="s">
        <v>17</v>
      </c>
      <c r="B7" s="103"/>
      <c r="C7" s="103"/>
      <c r="D7" s="103"/>
      <c r="E7" s="103"/>
    </row>
    <row r="8" spans="1:5" x14ac:dyDescent="0.25">
      <c r="A8" s="76"/>
      <c r="B8" s="76"/>
      <c r="C8" s="103" t="s">
        <v>39</v>
      </c>
      <c r="D8" s="103"/>
      <c r="E8" s="103"/>
    </row>
    <row r="9" spans="1:5" x14ac:dyDescent="0.25">
      <c r="A9" s="76"/>
      <c r="B9" s="76"/>
      <c r="C9" s="103" t="s">
        <v>39</v>
      </c>
      <c r="D9" s="103"/>
      <c r="E9" s="103"/>
    </row>
    <row r="10" spans="1:5" x14ac:dyDescent="0.25">
      <c r="A10" s="33"/>
      <c r="B10" s="33" t="s">
        <v>40</v>
      </c>
      <c r="C10" s="77" t="s">
        <v>163</v>
      </c>
      <c r="D10" s="62"/>
      <c r="E10" s="78"/>
    </row>
    <row r="11" spans="1:5" x14ac:dyDescent="0.25">
      <c r="A11" s="33" t="s">
        <v>157</v>
      </c>
      <c r="B11" s="33"/>
      <c r="C11" s="77" t="s">
        <v>196</v>
      </c>
      <c r="D11" s="33" t="s">
        <v>12</v>
      </c>
      <c r="E11" s="33" t="s">
        <v>24</v>
      </c>
    </row>
    <row r="12" spans="1:5" x14ac:dyDescent="0.25">
      <c r="A12" s="33" t="s">
        <v>18</v>
      </c>
      <c r="B12" s="33"/>
      <c r="C12" s="77" t="s">
        <v>200</v>
      </c>
      <c r="D12" s="33" t="s">
        <v>12</v>
      </c>
      <c r="E12" s="33" t="s">
        <v>24</v>
      </c>
    </row>
    <row r="13" spans="1:5" x14ac:dyDescent="0.25">
      <c r="A13" s="33" t="s">
        <v>24</v>
      </c>
      <c r="B13" s="33"/>
      <c r="C13" s="77" t="s">
        <v>202</v>
      </c>
      <c r="D13" s="33" t="s">
        <v>12</v>
      </c>
      <c r="E13" s="33" t="s">
        <v>157</v>
      </c>
    </row>
    <row r="14" spans="1:5" x14ac:dyDescent="0.25">
      <c r="A14" s="33" t="s">
        <v>27</v>
      </c>
      <c r="B14" s="33"/>
      <c r="C14" s="77" t="s">
        <v>205</v>
      </c>
      <c r="D14" s="33" t="s">
        <v>12</v>
      </c>
      <c r="E14" s="33" t="s">
        <v>18</v>
      </c>
    </row>
    <row r="15" spans="1:5" x14ac:dyDescent="0.25">
      <c r="A15" s="33" t="s">
        <v>31</v>
      </c>
      <c r="B15" s="33"/>
      <c r="C15" s="77" t="s">
        <v>206</v>
      </c>
      <c r="D15" s="33" t="s">
        <v>12</v>
      </c>
      <c r="E15" s="33" t="s">
        <v>157</v>
      </c>
    </row>
    <row r="16" spans="1:5" x14ac:dyDescent="0.25">
      <c r="A16" s="33" t="s">
        <v>35</v>
      </c>
      <c r="B16" s="33"/>
      <c r="C16" s="77" t="s">
        <v>270</v>
      </c>
      <c r="D16" s="33" t="s">
        <v>12</v>
      </c>
      <c r="E16" s="33" t="s">
        <v>35</v>
      </c>
    </row>
    <row r="17" spans="1:5" x14ac:dyDescent="0.25">
      <c r="A17" s="33" t="s">
        <v>42</v>
      </c>
      <c r="B17" s="33"/>
      <c r="C17" s="77" t="s">
        <v>271</v>
      </c>
      <c r="D17" s="33" t="s">
        <v>12</v>
      </c>
      <c r="E17" s="33" t="s">
        <v>35</v>
      </c>
    </row>
    <row r="18" spans="1:5" x14ac:dyDescent="0.25">
      <c r="A18" s="33" t="s">
        <v>47</v>
      </c>
      <c r="B18" s="33"/>
      <c r="C18" s="77" t="s">
        <v>272</v>
      </c>
      <c r="D18" s="33" t="s">
        <v>12</v>
      </c>
      <c r="E18" s="33" t="s">
        <v>162</v>
      </c>
    </row>
    <row r="19" spans="1:5" x14ac:dyDescent="0.25">
      <c r="A19" s="33" t="s">
        <v>160</v>
      </c>
      <c r="B19" s="33"/>
      <c r="C19" s="77" t="s">
        <v>273</v>
      </c>
      <c r="D19" s="33" t="s">
        <v>12</v>
      </c>
      <c r="E19" s="33" t="s">
        <v>162</v>
      </c>
    </row>
    <row r="20" spans="1:5" x14ac:dyDescent="0.25">
      <c r="A20" s="33" t="s">
        <v>52</v>
      </c>
      <c r="B20" s="33"/>
      <c r="C20" s="77" t="s">
        <v>227</v>
      </c>
      <c r="D20" s="33" t="s">
        <v>12</v>
      </c>
      <c r="E20" s="33" t="s">
        <v>162</v>
      </c>
    </row>
    <row r="21" spans="1:5" x14ac:dyDescent="0.25">
      <c r="A21" s="33" t="s">
        <v>154</v>
      </c>
      <c r="B21" s="33"/>
      <c r="C21" s="77" t="s">
        <v>217</v>
      </c>
      <c r="D21" s="33" t="s">
        <v>12</v>
      </c>
      <c r="E21" s="33" t="s">
        <v>24</v>
      </c>
    </row>
    <row r="22" spans="1:5" x14ac:dyDescent="0.25">
      <c r="A22" s="33" t="s">
        <v>161</v>
      </c>
      <c r="B22" s="33"/>
      <c r="C22" s="77" t="s">
        <v>274</v>
      </c>
      <c r="D22" s="33" t="s">
        <v>12</v>
      </c>
      <c r="E22" s="33" t="s">
        <v>27</v>
      </c>
    </row>
    <row r="23" spans="1:5" x14ac:dyDescent="0.25">
      <c r="A23" s="33" t="s">
        <v>162</v>
      </c>
      <c r="B23" s="33"/>
      <c r="C23" s="77" t="s">
        <v>199</v>
      </c>
      <c r="D23" s="33" t="s">
        <v>12</v>
      </c>
      <c r="E23" s="33" t="s">
        <v>157</v>
      </c>
    </row>
    <row r="24" spans="1:5" x14ac:dyDescent="0.25">
      <c r="A24" s="33" t="s">
        <v>210</v>
      </c>
      <c r="B24" s="33"/>
      <c r="C24" s="77" t="s">
        <v>275</v>
      </c>
      <c r="D24" s="33" t="s">
        <v>12</v>
      </c>
      <c r="E24" s="33" t="s">
        <v>35</v>
      </c>
    </row>
    <row r="25" spans="1:5" x14ac:dyDescent="0.25">
      <c r="A25" s="33" t="s">
        <v>201</v>
      </c>
      <c r="B25" s="33"/>
      <c r="C25" s="77" t="s">
        <v>276</v>
      </c>
      <c r="D25" s="33" t="s">
        <v>12</v>
      </c>
      <c r="E25" s="33" t="s">
        <v>35</v>
      </c>
    </row>
    <row r="26" spans="1:5" x14ac:dyDescent="0.25">
      <c r="A26" s="33" t="s">
        <v>310</v>
      </c>
      <c r="B26" s="33"/>
      <c r="C26" s="77" t="s">
        <v>277</v>
      </c>
      <c r="D26" s="33" t="s">
        <v>12</v>
      </c>
      <c r="E26" s="33" t="s">
        <v>35</v>
      </c>
    </row>
    <row r="27" spans="1:5" ht="30" x14ac:dyDescent="0.25">
      <c r="A27" s="33" t="s">
        <v>311</v>
      </c>
      <c r="B27" s="33"/>
      <c r="C27" s="77" t="s">
        <v>278</v>
      </c>
      <c r="D27" s="33" t="s">
        <v>12</v>
      </c>
      <c r="E27" s="33" t="s">
        <v>24</v>
      </c>
    </row>
    <row r="28" spans="1:5" x14ac:dyDescent="0.25">
      <c r="A28" s="33" t="s">
        <v>312</v>
      </c>
      <c r="B28" s="33"/>
      <c r="C28" s="77" t="s">
        <v>212</v>
      </c>
      <c r="D28" s="33" t="s">
        <v>12</v>
      </c>
      <c r="E28" s="33" t="s">
        <v>279</v>
      </c>
    </row>
    <row r="29" spans="1:5" x14ac:dyDescent="0.25">
      <c r="A29" s="33"/>
      <c r="B29" s="76"/>
      <c r="C29" s="103" t="s">
        <v>37</v>
      </c>
      <c r="D29" s="103"/>
      <c r="E29" s="103"/>
    </row>
    <row r="30" spans="1:5" x14ac:dyDescent="0.25">
      <c r="A30" s="33"/>
      <c r="B30" s="33" t="s">
        <v>38</v>
      </c>
      <c r="C30" s="77" t="s">
        <v>163</v>
      </c>
      <c r="D30" s="62"/>
      <c r="E30" s="75"/>
    </row>
    <row r="31" spans="1:5" x14ac:dyDescent="0.25">
      <c r="A31" s="33" t="s">
        <v>157</v>
      </c>
      <c r="B31" s="33"/>
      <c r="C31" s="77" t="s">
        <v>207</v>
      </c>
      <c r="D31" s="33" t="s">
        <v>12</v>
      </c>
      <c r="E31" s="33" t="s">
        <v>280</v>
      </c>
    </row>
    <row r="32" spans="1:5" x14ac:dyDescent="0.25">
      <c r="A32" s="103" t="s">
        <v>41</v>
      </c>
      <c r="B32" s="103"/>
      <c r="C32" s="103"/>
      <c r="D32" s="103"/>
      <c r="E32" s="103"/>
    </row>
    <row r="33" spans="1:5" x14ac:dyDescent="0.25">
      <c r="A33" s="76" t="s">
        <v>42</v>
      </c>
      <c r="B33" s="76"/>
      <c r="C33" s="103" t="s">
        <v>43</v>
      </c>
      <c r="D33" s="103"/>
      <c r="E33" s="103"/>
    </row>
    <row r="34" spans="1:5" x14ac:dyDescent="0.25">
      <c r="A34" s="36" t="s">
        <v>157</v>
      </c>
      <c r="B34" s="36"/>
      <c r="C34" s="35" t="s">
        <v>145</v>
      </c>
      <c r="D34" s="5" t="s">
        <v>59</v>
      </c>
      <c r="E34" s="5">
        <v>13</v>
      </c>
    </row>
    <row r="35" spans="1:5" x14ac:dyDescent="0.25">
      <c r="A35" s="87" t="s">
        <v>46</v>
      </c>
      <c r="B35" s="87"/>
      <c r="C35" s="87"/>
      <c r="D35" s="87"/>
      <c r="E35" s="87"/>
    </row>
    <row r="36" spans="1:5" x14ac:dyDescent="0.25">
      <c r="A36" s="2" t="s">
        <v>154</v>
      </c>
      <c r="B36" s="70"/>
      <c r="C36" s="87" t="s">
        <v>345</v>
      </c>
      <c r="D36" s="87"/>
      <c r="E36" s="87"/>
    </row>
    <row r="37" spans="1:5" x14ac:dyDescent="0.25">
      <c r="A37" s="71" t="s">
        <v>157</v>
      </c>
      <c r="B37" s="71" t="s">
        <v>346</v>
      </c>
      <c r="C37" s="35" t="s">
        <v>347</v>
      </c>
      <c r="D37" s="71" t="s">
        <v>12</v>
      </c>
      <c r="E37" s="71" t="s">
        <v>157</v>
      </c>
    </row>
    <row r="38" spans="1:5" x14ac:dyDescent="0.25">
      <c r="A38" s="87" t="s">
        <v>53</v>
      </c>
      <c r="B38" s="87"/>
      <c r="C38" s="87"/>
      <c r="D38" s="87"/>
      <c r="E38" s="87"/>
    </row>
    <row r="39" spans="1:5" x14ac:dyDescent="0.25">
      <c r="A39" s="88" t="s">
        <v>54</v>
      </c>
      <c r="B39" s="89"/>
      <c r="C39" s="89"/>
      <c r="D39" s="89"/>
      <c r="E39" s="89"/>
    </row>
    <row r="40" spans="1:5" x14ac:dyDescent="0.25">
      <c r="A40" s="90" t="s">
        <v>55</v>
      </c>
      <c r="B40" s="91"/>
      <c r="C40" s="91"/>
      <c r="D40" s="91"/>
      <c r="E40" s="91"/>
    </row>
    <row r="41" spans="1:5" x14ac:dyDescent="0.25">
      <c r="A41" s="92" t="s">
        <v>56</v>
      </c>
      <c r="B41" s="93"/>
      <c r="C41" s="93"/>
      <c r="D41" s="93"/>
      <c r="E41" s="93"/>
    </row>
  </sheetData>
  <mergeCells count="17">
    <mergeCell ref="A1:E1"/>
    <mergeCell ref="A2:E2"/>
    <mergeCell ref="C4:E4"/>
    <mergeCell ref="A5:A6"/>
    <mergeCell ref="B5:B6"/>
    <mergeCell ref="A39:E39"/>
    <mergeCell ref="A40:E40"/>
    <mergeCell ref="A41:E41"/>
    <mergeCell ref="A7:E7"/>
    <mergeCell ref="C33:E33"/>
    <mergeCell ref="A35:E35"/>
    <mergeCell ref="C8:E8"/>
    <mergeCell ref="A32:E32"/>
    <mergeCell ref="C9:E9"/>
    <mergeCell ref="C29:E29"/>
    <mergeCell ref="C36:E36"/>
    <mergeCell ref="A38:E38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15" zoomScaleNormal="115" workbookViewId="0">
      <selection activeCell="G5" sqref="G5"/>
    </sheetView>
  </sheetViews>
  <sheetFormatPr defaultRowHeight="15" x14ac:dyDescent="0.25"/>
  <cols>
    <col min="2" max="2" width="11.28515625" customWidth="1"/>
    <col min="3" max="3" width="58.7109375" customWidth="1"/>
    <col min="4" max="4" width="12.42578125" customWidth="1"/>
  </cols>
  <sheetData>
    <row r="1" spans="1:7" ht="60.75" customHeight="1" x14ac:dyDescent="0.25">
      <c r="A1" s="94" t="s">
        <v>168</v>
      </c>
      <c r="B1" s="94"/>
      <c r="C1" s="94"/>
      <c r="D1" s="94"/>
      <c r="E1" s="94"/>
    </row>
    <row r="2" spans="1:7" x14ac:dyDescent="0.25">
      <c r="A2" s="95" t="s">
        <v>0</v>
      </c>
      <c r="B2" s="95"/>
      <c r="C2" s="95"/>
      <c r="D2" s="95"/>
      <c r="E2" s="95"/>
    </row>
    <row r="3" spans="1:7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7" x14ac:dyDescent="0.25">
      <c r="A4" s="2">
        <v>1</v>
      </c>
      <c r="B4" s="2"/>
      <c r="C4" s="87" t="s">
        <v>8</v>
      </c>
      <c r="D4" s="87"/>
      <c r="E4" s="87"/>
    </row>
    <row r="5" spans="1:7" x14ac:dyDescent="0.25">
      <c r="A5" s="96">
        <v>1</v>
      </c>
      <c r="B5" s="97" t="s">
        <v>9</v>
      </c>
      <c r="C5" s="35" t="s">
        <v>57</v>
      </c>
      <c r="D5" s="34"/>
      <c r="E5" s="34"/>
    </row>
    <row r="6" spans="1:7" x14ac:dyDescent="0.25">
      <c r="A6" s="96"/>
      <c r="B6" s="97"/>
      <c r="C6" s="69" t="s">
        <v>184</v>
      </c>
      <c r="D6" s="66" t="s">
        <v>10</v>
      </c>
      <c r="E6" s="65">
        <f>1379/1000</f>
        <v>1.379</v>
      </c>
    </row>
    <row r="7" spans="1:7" ht="30" x14ac:dyDescent="0.25">
      <c r="A7" s="66" t="s">
        <v>18</v>
      </c>
      <c r="B7" s="66" t="s">
        <v>14</v>
      </c>
      <c r="C7" s="35" t="s">
        <v>76</v>
      </c>
      <c r="D7" s="66" t="s">
        <v>13</v>
      </c>
      <c r="E7" s="4">
        <f>E6*1000*2*1</f>
        <v>2758</v>
      </c>
    </row>
    <row r="8" spans="1:7" ht="30" x14ac:dyDescent="0.25">
      <c r="A8" s="66" t="s">
        <v>24</v>
      </c>
      <c r="B8" s="66" t="s">
        <v>14</v>
      </c>
      <c r="C8" s="35" t="s">
        <v>75</v>
      </c>
      <c r="D8" s="66" t="s">
        <v>13</v>
      </c>
      <c r="E8" s="4">
        <f>E7</f>
        <v>2758</v>
      </c>
    </row>
    <row r="9" spans="1:7" ht="45" x14ac:dyDescent="0.25">
      <c r="A9" s="66" t="s">
        <v>27</v>
      </c>
      <c r="B9" s="66" t="s">
        <v>14</v>
      </c>
      <c r="C9" s="35" t="s">
        <v>149</v>
      </c>
      <c r="D9" s="66" t="s">
        <v>21</v>
      </c>
      <c r="E9" s="4">
        <f>E8*0.15+E7*0.12</f>
        <v>744.66</v>
      </c>
    </row>
    <row r="10" spans="1:7" x14ac:dyDescent="0.25">
      <c r="A10" s="87" t="s">
        <v>17</v>
      </c>
      <c r="B10" s="87"/>
      <c r="C10" s="87"/>
      <c r="D10" s="87"/>
      <c r="E10" s="87"/>
    </row>
    <row r="11" spans="1:7" x14ac:dyDescent="0.25">
      <c r="A11" s="2" t="s">
        <v>18</v>
      </c>
      <c r="B11" s="2"/>
      <c r="C11" s="87" t="s">
        <v>19</v>
      </c>
      <c r="D11" s="87"/>
      <c r="E11" s="87"/>
    </row>
    <row r="12" spans="1:7" x14ac:dyDescent="0.25">
      <c r="A12" s="66"/>
      <c r="B12" s="66" t="s">
        <v>20</v>
      </c>
      <c r="C12" s="3" t="s">
        <v>60</v>
      </c>
      <c r="D12" s="66"/>
      <c r="E12" s="7"/>
    </row>
    <row r="13" spans="1:7" ht="30" x14ac:dyDescent="0.25">
      <c r="A13" s="66" t="s">
        <v>157</v>
      </c>
      <c r="B13" s="66"/>
      <c r="C13" s="69" t="s">
        <v>61</v>
      </c>
      <c r="D13" s="66" t="s">
        <v>62</v>
      </c>
      <c r="E13" s="4">
        <v>199.1</v>
      </c>
      <c r="G13" s="67"/>
    </row>
    <row r="14" spans="1:7" x14ac:dyDescent="0.25">
      <c r="A14" s="66"/>
      <c r="B14" s="66" t="s">
        <v>22</v>
      </c>
      <c r="C14" s="3" t="s">
        <v>63</v>
      </c>
      <c r="D14" s="66"/>
      <c r="E14" s="7"/>
      <c r="G14" s="68"/>
    </row>
    <row r="15" spans="1:7" ht="34.5" customHeight="1" x14ac:dyDescent="0.25">
      <c r="A15" s="66" t="s">
        <v>18</v>
      </c>
      <c r="B15" s="66"/>
      <c r="C15" s="69" t="s">
        <v>64</v>
      </c>
      <c r="D15" s="71" t="s">
        <v>62</v>
      </c>
      <c r="E15" s="4">
        <v>1151</v>
      </c>
      <c r="G15" s="67"/>
    </row>
    <row r="16" spans="1:7" x14ac:dyDescent="0.25">
      <c r="A16" s="87" t="s">
        <v>23</v>
      </c>
      <c r="B16" s="87"/>
      <c r="C16" s="87"/>
      <c r="D16" s="87"/>
      <c r="E16" s="87"/>
    </row>
    <row r="17" spans="1:5" x14ac:dyDescent="0.25">
      <c r="A17" s="2" t="s">
        <v>27</v>
      </c>
      <c r="B17" s="2"/>
      <c r="C17" s="87" t="s">
        <v>28</v>
      </c>
      <c r="D17" s="87"/>
      <c r="E17" s="87"/>
    </row>
    <row r="18" spans="1:5" ht="30" x14ac:dyDescent="0.25">
      <c r="A18" s="66" t="s">
        <v>157</v>
      </c>
      <c r="B18" s="66" t="s">
        <v>65</v>
      </c>
      <c r="C18" s="69" t="s">
        <v>67</v>
      </c>
      <c r="D18" s="5" t="s">
        <v>66</v>
      </c>
      <c r="E18" s="32">
        <f>E23+E24</f>
        <v>4137</v>
      </c>
    </row>
    <row r="19" spans="1:5" ht="30" x14ac:dyDescent="0.25">
      <c r="A19" s="66" t="s">
        <v>24</v>
      </c>
      <c r="B19" s="66" t="s">
        <v>65</v>
      </c>
      <c r="C19" s="69" t="s">
        <v>69</v>
      </c>
      <c r="D19" s="5" t="s">
        <v>66</v>
      </c>
      <c r="E19" s="32">
        <f>E23+E24</f>
        <v>4137</v>
      </c>
    </row>
    <row r="20" spans="1:5" ht="30" x14ac:dyDescent="0.25">
      <c r="A20" s="66" t="s">
        <v>27</v>
      </c>
      <c r="B20" s="66" t="s">
        <v>29</v>
      </c>
      <c r="C20" s="35" t="s">
        <v>319</v>
      </c>
      <c r="D20" s="66" t="s">
        <v>13</v>
      </c>
      <c r="E20" s="32">
        <f>E23+E24</f>
        <v>4137</v>
      </c>
    </row>
    <row r="21" spans="1:5" x14ac:dyDescent="0.25">
      <c r="A21" s="87" t="s">
        <v>30</v>
      </c>
      <c r="B21" s="87"/>
      <c r="C21" s="87"/>
      <c r="D21" s="87"/>
      <c r="E21" s="87"/>
    </row>
    <row r="22" spans="1:5" x14ac:dyDescent="0.25">
      <c r="A22" s="2" t="s">
        <v>31</v>
      </c>
      <c r="B22" s="2"/>
      <c r="C22" s="87" t="s">
        <v>32</v>
      </c>
      <c r="D22" s="87"/>
      <c r="E22" s="87"/>
    </row>
    <row r="23" spans="1:5" ht="45" x14ac:dyDescent="0.25">
      <c r="A23" s="66" t="s">
        <v>157</v>
      </c>
      <c r="B23" s="66" t="s">
        <v>316</v>
      </c>
      <c r="C23" s="35" t="s">
        <v>321</v>
      </c>
      <c r="D23" s="66" t="s">
        <v>13</v>
      </c>
      <c r="E23" s="5">
        <f>E6*1000*1</f>
        <v>1379</v>
      </c>
    </row>
    <row r="24" spans="1:5" ht="45" x14ac:dyDescent="0.25">
      <c r="A24" s="66" t="s">
        <v>18</v>
      </c>
      <c r="B24" s="66" t="s">
        <v>317</v>
      </c>
      <c r="C24" s="35" t="s">
        <v>320</v>
      </c>
      <c r="D24" s="66" t="s">
        <v>13</v>
      </c>
      <c r="E24" s="5">
        <f>E6*1000*2*1</f>
        <v>2758</v>
      </c>
    </row>
    <row r="25" spans="1:5" x14ac:dyDescent="0.25">
      <c r="A25" s="87" t="s">
        <v>34</v>
      </c>
      <c r="B25" s="87"/>
      <c r="C25" s="87"/>
      <c r="D25" s="87"/>
      <c r="E25" s="87"/>
    </row>
    <row r="26" spans="1:5" x14ac:dyDescent="0.25">
      <c r="A26" s="2" t="s">
        <v>35</v>
      </c>
      <c r="B26" s="2"/>
      <c r="C26" s="87" t="s">
        <v>70</v>
      </c>
      <c r="D26" s="87"/>
      <c r="E26" s="87"/>
    </row>
    <row r="27" spans="1:5" ht="17.25" x14ac:dyDescent="0.25">
      <c r="A27" s="66" t="s">
        <v>157</v>
      </c>
      <c r="B27" s="66" t="s">
        <v>318</v>
      </c>
      <c r="C27" s="35" t="s">
        <v>71</v>
      </c>
      <c r="D27" s="66" t="s">
        <v>13</v>
      </c>
      <c r="E27" s="5">
        <f>E23+E24</f>
        <v>4137</v>
      </c>
    </row>
    <row r="28" spans="1:5" x14ac:dyDescent="0.25">
      <c r="A28" s="87" t="s">
        <v>72</v>
      </c>
      <c r="B28" s="87"/>
      <c r="C28" s="87"/>
      <c r="D28" s="87"/>
      <c r="E28" s="87"/>
    </row>
    <row r="29" spans="1:5" x14ac:dyDescent="0.25">
      <c r="A29" s="2" t="s">
        <v>42</v>
      </c>
      <c r="B29" s="2"/>
      <c r="C29" s="87" t="s">
        <v>36</v>
      </c>
      <c r="D29" s="87"/>
      <c r="E29" s="87"/>
    </row>
    <row r="30" spans="1:5" x14ac:dyDescent="0.25">
      <c r="A30" s="2"/>
      <c r="B30" s="2"/>
      <c r="C30" s="87" t="s">
        <v>39</v>
      </c>
      <c r="D30" s="87"/>
      <c r="E30" s="87"/>
    </row>
    <row r="31" spans="1:5" x14ac:dyDescent="0.25">
      <c r="A31" s="66"/>
      <c r="B31" s="66" t="s">
        <v>40</v>
      </c>
      <c r="C31" s="35" t="s">
        <v>39</v>
      </c>
      <c r="D31" s="66"/>
      <c r="E31" s="5"/>
    </row>
    <row r="32" spans="1:5" x14ac:dyDescent="0.25">
      <c r="A32" s="66" t="s">
        <v>157</v>
      </c>
      <c r="B32" s="66"/>
      <c r="C32" s="35" t="s">
        <v>196</v>
      </c>
      <c r="D32" s="66" t="s">
        <v>12</v>
      </c>
      <c r="E32" s="66" t="s">
        <v>18</v>
      </c>
    </row>
    <row r="33" spans="1:5" x14ac:dyDescent="0.25">
      <c r="A33" s="66" t="s">
        <v>18</v>
      </c>
      <c r="B33" s="66"/>
      <c r="C33" s="35" t="s">
        <v>197</v>
      </c>
      <c r="D33" s="66" t="s">
        <v>12</v>
      </c>
      <c r="E33" s="66" t="s">
        <v>157</v>
      </c>
    </row>
    <row r="34" spans="1:5" x14ac:dyDescent="0.25">
      <c r="A34" s="66" t="s">
        <v>24</v>
      </c>
      <c r="B34" s="66"/>
      <c r="C34" s="35" t="s">
        <v>198</v>
      </c>
      <c r="D34" s="66" t="s">
        <v>12</v>
      </c>
      <c r="E34" s="66" t="s">
        <v>157</v>
      </c>
    </row>
    <row r="35" spans="1:5" x14ac:dyDescent="0.25">
      <c r="A35" s="66" t="s">
        <v>27</v>
      </c>
      <c r="B35" s="66"/>
      <c r="C35" s="35" t="s">
        <v>199</v>
      </c>
      <c r="D35" s="66" t="s">
        <v>12</v>
      </c>
      <c r="E35" s="66" t="s">
        <v>157</v>
      </c>
    </row>
    <row r="36" spans="1:5" x14ac:dyDescent="0.25">
      <c r="A36" s="66" t="s">
        <v>31</v>
      </c>
      <c r="B36" s="66"/>
      <c r="C36" s="35" t="s">
        <v>200</v>
      </c>
      <c r="D36" s="66" t="s">
        <v>12</v>
      </c>
      <c r="E36" s="66" t="s">
        <v>201</v>
      </c>
    </row>
    <row r="37" spans="1:5" x14ac:dyDescent="0.25">
      <c r="A37" s="66" t="s">
        <v>35</v>
      </c>
      <c r="B37" s="66"/>
      <c r="C37" s="35" t="s">
        <v>204</v>
      </c>
      <c r="D37" s="66" t="s">
        <v>12</v>
      </c>
      <c r="E37" s="66" t="s">
        <v>18</v>
      </c>
    </row>
    <row r="38" spans="1:5" x14ac:dyDescent="0.25">
      <c r="A38" s="66" t="s">
        <v>42</v>
      </c>
      <c r="B38" s="66"/>
      <c r="C38" s="35" t="s">
        <v>202</v>
      </c>
      <c r="D38" s="66" t="s">
        <v>12</v>
      </c>
      <c r="E38" s="66" t="s">
        <v>24</v>
      </c>
    </row>
    <row r="39" spans="1:5" x14ac:dyDescent="0.25">
      <c r="A39" s="66" t="s">
        <v>47</v>
      </c>
      <c r="B39" s="66"/>
      <c r="C39" s="35" t="s">
        <v>205</v>
      </c>
      <c r="D39" s="66" t="s">
        <v>12</v>
      </c>
      <c r="E39" s="66" t="s">
        <v>157</v>
      </c>
    </row>
    <row r="40" spans="1:5" x14ac:dyDescent="0.25">
      <c r="A40" s="66" t="s">
        <v>160</v>
      </c>
      <c r="B40" s="66"/>
      <c r="C40" s="35" t="s">
        <v>203</v>
      </c>
      <c r="D40" s="66" t="s">
        <v>12</v>
      </c>
      <c r="E40" s="66" t="s">
        <v>24</v>
      </c>
    </row>
    <row r="41" spans="1:5" x14ac:dyDescent="0.25">
      <c r="A41" s="66" t="s">
        <v>52</v>
      </c>
      <c r="B41" s="66"/>
      <c r="C41" s="35" t="s">
        <v>206</v>
      </c>
      <c r="D41" s="66" t="s">
        <v>12</v>
      </c>
      <c r="E41" s="66" t="s">
        <v>157</v>
      </c>
    </row>
    <row r="42" spans="1:5" x14ac:dyDescent="0.25">
      <c r="A42" s="66" t="s">
        <v>154</v>
      </c>
      <c r="B42" s="66"/>
      <c r="C42" s="35" t="s">
        <v>209</v>
      </c>
      <c r="D42" s="66" t="s">
        <v>12</v>
      </c>
      <c r="E42" s="66" t="s">
        <v>210</v>
      </c>
    </row>
    <row r="43" spans="1:5" x14ac:dyDescent="0.25">
      <c r="A43" s="66"/>
      <c r="B43" s="66" t="s">
        <v>38</v>
      </c>
      <c r="C43" s="35" t="s">
        <v>37</v>
      </c>
      <c r="D43" s="62"/>
      <c r="E43" s="66"/>
    </row>
    <row r="44" spans="1:5" x14ac:dyDescent="0.25">
      <c r="A44" s="66" t="s">
        <v>157</v>
      </c>
      <c r="B44" s="66"/>
      <c r="C44" s="35" t="s">
        <v>207</v>
      </c>
      <c r="D44" s="66" t="s">
        <v>12</v>
      </c>
      <c r="E44" s="66" t="s">
        <v>18</v>
      </c>
    </row>
    <row r="45" spans="1:5" x14ac:dyDescent="0.25">
      <c r="A45" s="66" t="s">
        <v>18</v>
      </c>
      <c r="B45" s="66"/>
      <c r="C45" s="35" t="s">
        <v>208</v>
      </c>
      <c r="D45" s="66" t="s">
        <v>12</v>
      </c>
      <c r="E45" s="66" t="s">
        <v>157</v>
      </c>
    </row>
    <row r="46" spans="1:5" x14ac:dyDescent="0.25">
      <c r="A46" s="87" t="s">
        <v>41</v>
      </c>
      <c r="B46" s="87"/>
      <c r="C46" s="87"/>
      <c r="D46" s="87"/>
      <c r="E46" s="87"/>
    </row>
    <row r="47" spans="1:5" x14ac:dyDescent="0.25">
      <c r="A47" s="2" t="s">
        <v>154</v>
      </c>
      <c r="B47" s="70"/>
      <c r="C47" s="87" t="s">
        <v>345</v>
      </c>
      <c r="D47" s="87"/>
      <c r="E47" s="87"/>
    </row>
    <row r="48" spans="1:5" x14ac:dyDescent="0.25">
      <c r="A48" s="71" t="s">
        <v>157</v>
      </c>
      <c r="B48" s="71" t="s">
        <v>346</v>
      </c>
      <c r="C48" s="35" t="s">
        <v>347</v>
      </c>
      <c r="D48" s="71" t="s">
        <v>12</v>
      </c>
      <c r="E48" s="71" t="s">
        <v>157</v>
      </c>
    </row>
    <row r="49" spans="1:5" x14ac:dyDescent="0.25">
      <c r="A49" s="87" t="s">
        <v>53</v>
      </c>
      <c r="B49" s="87"/>
      <c r="C49" s="87"/>
      <c r="D49" s="87"/>
      <c r="E49" s="87"/>
    </row>
    <row r="50" spans="1:5" x14ac:dyDescent="0.25">
      <c r="A50" s="88" t="s">
        <v>54</v>
      </c>
      <c r="B50" s="89"/>
      <c r="C50" s="89"/>
      <c r="D50" s="89"/>
      <c r="E50" s="89"/>
    </row>
    <row r="51" spans="1:5" x14ac:dyDescent="0.25">
      <c r="A51" s="90" t="s">
        <v>55</v>
      </c>
      <c r="B51" s="91"/>
      <c r="C51" s="91"/>
      <c r="D51" s="91"/>
      <c r="E51" s="91"/>
    </row>
    <row r="52" spans="1:5" x14ac:dyDescent="0.25">
      <c r="A52" s="92" t="s">
        <v>56</v>
      </c>
      <c r="B52" s="93"/>
      <c r="C52" s="93"/>
      <c r="D52" s="93"/>
      <c r="E52" s="93"/>
    </row>
  </sheetData>
  <mergeCells count="22">
    <mergeCell ref="A1:E1"/>
    <mergeCell ref="A2:E2"/>
    <mergeCell ref="C4:E4"/>
    <mergeCell ref="A5:A6"/>
    <mergeCell ref="B5:B6"/>
    <mergeCell ref="C29:E29"/>
    <mergeCell ref="A10:E10"/>
    <mergeCell ref="C11:E11"/>
    <mergeCell ref="A16:E16"/>
    <mergeCell ref="C17:E17"/>
    <mergeCell ref="A21:E21"/>
    <mergeCell ref="C22:E22"/>
    <mergeCell ref="A25:E25"/>
    <mergeCell ref="C26:E26"/>
    <mergeCell ref="A28:E28"/>
    <mergeCell ref="A46:E46"/>
    <mergeCell ref="A50:E50"/>
    <mergeCell ref="A51:E51"/>
    <mergeCell ref="A52:E52"/>
    <mergeCell ref="C30:E30"/>
    <mergeCell ref="C47:E47"/>
    <mergeCell ref="A49:E49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G6" sqref="G6"/>
    </sheetView>
  </sheetViews>
  <sheetFormatPr defaultRowHeight="15" x14ac:dyDescent="0.25"/>
  <cols>
    <col min="2" max="2" width="13.140625" customWidth="1"/>
    <col min="3" max="3" width="55.140625" customWidth="1"/>
  </cols>
  <sheetData>
    <row r="1" spans="1:7" ht="80.25" customHeight="1" x14ac:dyDescent="0.25">
      <c r="A1" s="94" t="s">
        <v>169</v>
      </c>
      <c r="B1" s="94"/>
      <c r="C1" s="94"/>
      <c r="D1" s="94"/>
      <c r="E1" s="94"/>
    </row>
    <row r="2" spans="1:7" x14ac:dyDescent="0.25">
      <c r="A2" s="95" t="s">
        <v>0</v>
      </c>
      <c r="B2" s="95"/>
      <c r="C2" s="95"/>
      <c r="D2" s="95"/>
      <c r="E2" s="95"/>
    </row>
    <row r="3" spans="1:7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7" x14ac:dyDescent="0.25">
      <c r="A4" s="2">
        <v>1</v>
      </c>
      <c r="B4" s="2"/>
      <c r="C4" s="87" t="s">
        <v>8</v>
      </c>
      <c r="D4" s="87"/>
      <c r="E4" s="87"/>
    </row>
    <row r="5" spans="1:7" x14ac:dyDescent="0.25">
      <c r="A5" s="96">
        <v>1</v>
      </c>
      <c r="B5" s="97" t="s">
        <v>9</v>
      </c>
      <c r="C5" s="3" t="s">
        <v>57</v>
      </c>
      <c r="D5" s="34"/>
      <c r="E5" s="34"/>
    </row>
    <row r="6" spans="1:7" x14ac:dyDescent="0.25">
      <c r="A6" s="96"/>
      <c r="B6" s="97"/>
      <c r="C6" s="8" t="s">
        <v>185</v>
      </c>
      <c r="D6" s="66" t="s">
        <v>10</v>
      </c>
      <c r="E6" s="4">
        <f>323/1000</f>
        <v>0.32300000000000001</v>
      </c>
    </row>
    <row r="7" spans="1:7" ht="30" x14ac:dyDescent="0.25">
      <c r="A7" s="66" t="s">
        <v>18</v>
      </c>
      <c r="B7" s="66" t="s">
        <v>14</v>
      </c>
      <c r="C7" s="3" t="s">
        <v>76</v>
      </c>
      <c r="D7" s="66" t="s">
        <v>13</v>
      </c>
      <c r="E7" s="4">
        <f>E6*1000*2*1</f>
        <v>646</v>
      </c>
    </row>
    <row r="8" spans="1:7" ht="30" x14ac:dyDescent="0.25">
      <c r="A8" s="66" t="s">
        <v>24</v>
      </c>
      <c r="B8" s="66" t="s">
        <v>14</v>
      </c>
      <c r="C8" s="3" t="s">
        <v>75</v>
      </c>
      <c r="D8" s="66" t="s">
        <v>13</v>
      </c>
      <c r="E8" s="4">
        <f>E7</f>
        <v>646</v>
      </c>
    </row>
    <row r="9" spans="1:7" ht="45" x14ac:dyDescent="0.25">
      <c r="A9" s="66" t="s">
        <v>27</v>
      </c>
      <c r="B9" s="66" t="s">
        <v>14</v>
      </c>
      <c r="C9" s="3" t="s">
        <v>149</v>
      </c>
      <c r="D9" s="66" t="s">
        <v>21</v>
      </c>
      <c r="E9" s="4">
        <f>E8*0.15+E7*0.12</f>
        <v>174.42</v>
      </c>
    </row>
    <row r="10" spans="1:7" x14ac:dyDescent="0.25">
      <c r="A10" s="87" t="s">
        <v>17</v>
      </c>
      <c r="B10" s="87"/>
      <c r="C10" s="87"/>
      <c r="D10" s="87"/>
      <c r="E10" s="87"/>
    </row>
    <row r="11" spans="1:7" x14ac:dyDescent="0.25">
      <c r="A11" s="2" t="s">
        <v>18</v>
      </c>
      <c r="B11" s="2"/>
      <c r="C11" s="87" t="s">
        <v>19</v>
      </c>
      <c r="D11" s="87"/>
      <c r="E11" s="87"/>
    </row>
    <row r="12" spans="1:7" x14ac:dyDescent="0.25">
      <c r="A12" s="66"/>
      <c r="B12" s="66" t="s">
        <v>20</v>
      </c>
      <c r="C12" s="3" t="s">
        <v>60</v>
      </c>
      <c r="D12" s="66"/>
      <c r="E12" s="7"/>
    </row>
    <row r="13" spans="1:7" ht="30" x14ac:dyDescent="0.25">
      <c r="A13" s="66" t="s">
        <v>157</v>
      </c>
      <c r="B13" s="66"/>
      <c r="C13" s="8" t="s">
        <v>61</v>
      </c>
      <c r="D13" s="66" t="s">
        <v>62</v>
      </c>
      <c r="E13" s="32">
        <v>8</v>
      </c>
      <c r="G13" s="67"/>
    </row>
    <row r="14" spans="1:7" x14ac:dyDescent="0.25">
      <c r="A14" s="66"/>
      <c r="B14" s="66" t="s">
        <v>22</v>
      </c>
      <c r="C14" s="3" t="s">
        <v>63</v>
      </c>
      <c r="D14" s="66"/>
      <c r="E14" s="7"/>
      <c r="G14" s="68"/>
    </row>
    <row r="15" spans="1:7" ht="30" x14ac:dyDescent="0.25">
      <c r="A15" s="66" t="s">
        <v>18</v>
      </c>
      <c r="B15" s="66"/>
      <c r="C15" s="8" t="s">
        <v>64</v>
      </c>
      <c r="D15" s="9" t="s">
        <v>62</v>
      </c>
      <c r="E15" s="32">
        <v>146.875</v>
      </c>
      <c r="G15" s="67"/>
    </row>
    <row r="16" spans="1:7" x14ac:dyDescent="0.25">
      <c r="A16" s="87" t="s">
        <v>23</v>
      </c>
      <c r="B16" s="87"/>
      <c r="C16" s="87"/>
      <c r="D16" s="87"/>
      <c r="E16" s="87"/>
    </row>
    <row r="17" spans="1:5" x14ac:dyDescent="0.25">
      <c r="A17" s="2" t="s">
        <v>27</v>
      </c>
      <c r="B17" s="2"/>
      <c r="C17" s="87" t="s">
        <v>28</v>
      </c>
      <c r="D17" s="87"/>
      <c r="E17" s="87"/>
    </row>
    <row r="18" spans="1:5" ht="30" x14ac:dyDescent="0.25">
      <c r="A18" s="66" t="s">
        <v>157</v>
      </c>
      <c r="B18" s="66" t="s">
        <v>65</v>
      </c>
      <c r="C18" s="8" t="s">
        <v>67</v>
      </c>
      <c r="D18" s="5" t="s">
        <v>66</v>
      </c>
      <c r="E18" s="32">
        <f>E23+E24</f>
        <v>969</v>
      </c>
    </row>
    <row r="19" spans="1:5" ht="30" x14ac:dyDescent="0.25">
      <c r="A19" s="66" t="s">
        <v>24</v>
      </c>
      <c r="B19" s="66" t="s">
        <v>65</v>
      </c>
      <c r="C19" s="8" t="s">
        <v>69</v>
      </c>
      <c r="D19" s="5" t="s">
        <v>66</v>
      </c>
      <c r="E19" s="32">
        <f>E23+E24</f>
        <v>969</v>
      </c>
    </row>
    <row r="20" spans="1:5" ht="30" x14ac:dyDescent="0.25">
      <c r="A20" s="66" t="s">
        <v>27</v>
      </c>
      <c r="B20" s="66" t="s">
        <v>29</v>
      </c>
      <c r="C20" s="3" t="s">
        <v>319</v>
      </c>
      <c r="D20" s="66" t="s">
        <v>13</v>
      </c>
      <c r="E20" s="32">
        <f>E23+E24</f>
        <v>969</v>
      </c>
    </row>
    <row r="21" spans="1:5" x14ac:dyDescent="0.25">
      <c r="A21" s="87" t="s">
        <v>30</v>
      </c>
      <c r="B21" s="87"/>
      <c r="C21" s="87"/>
      <c r="D21" s="87"/>
      <c r="E21" s="87"/>
    </row>
    <row r="22" spans="1:5" x14ac:dyDescent="0.25">
      <c r="A22" s="2" t="s">
        <v>31</v>
      </c>
      <c r="B22" s="2"/>
      <c r="C22" s="87" t="s">
        <v>32</v>
      </c>
      <c r="D22" s="87"/>
      <c r="E22" s="87"/>
    </row>
    <row r="23" spans="1:5" ht="45" x14ac:dyDescent="0.25">
      <c r="A23" s="66" t="s">
        <v>157</v>
      </c>
      <c r="B23" s="66" t="s">
        <v>316</v>
      </c>
      <c r="C23" s="8" t="s">
        <v>321</v>
      </c>
      <c r="D23" s="66" t="s">
        <v>13</v>
      </c>
      <c r="E23" s="5">
        <f>1*E6*1000</f>
        <v>323</v>
      </c>
    </row>
    <row r="24" spans="1:5" ht="45" x14ac:dyDescent="0.25">
      <c r="A24" s="66" t="s">
        <v>18</v>
      </c>
      <c r="B24" s="66" t="s">
        <v>317</v>
      </c>
      <c r="C24" s="8" t="s">
        <v>320</v>
      </c>
      <c r="D24" s="66" t="s">
        <v>13</v>
      </c>
      <c r="E24" s="5">
        <f>E6*1000*2*1</f>
        <v>646</v>
      </c>
    </row>
    <row r="25" spans="1:5" x14ac:dyDescent="0.25">
      <c r="A25" s="87" t="s">
        <v>34</v>
      </c>
      <c r="B25" s="87"/>
      <c r="C25" s="87"/>
      <c r="D25" s="87"/>
      <c r="E25" s="87"/>
    </row>
    <row r="26" spans="1:5" x14ac:dyDescent="0.25">
      <c r="A26" s="2" t="s">
        <v>35</v>
      </c>
      <c r="B26" s="2"/>
      <c r="C26" s="87" t="s">
        <v>70</v>
      </c>
      <c r="D26" s="87"/>
      <c r="E26" s="87"/>
    </row>
    <row r="27" spans="1:5" ht="17.25" x14ac:dyDescent="0.25">
      <c r="A27" s="66" t="s">
        <v>157</v>
      </c>
      <c r="B27" s="66" t="s">
        <v>318</v>
      </c>
      <c r="C27" s="35" t="s">
        <v>71</v>
      </c>
      <c r="D27" s="66" t="s">
        <v>13</v>
      </c>
      <c r="E27" s="5">
        <f>E23+E24</f>
        <v>969</v>
      </c>
    </row>
    <row r="28" spans="1:5" x14ac:dyDescent="0.25">
      <c r="A28" s="87" t="s">
        <v>72</v>
      </c>
      <c r="B28" s="87"/>
      <c r="C28" s="87"/>
      <c r="D28" s="87"/>
      <c r="E28" s="87"/>
    </row>
    <row r="29" spans="1:5" x14ac:dyDescent="0.25">
      <c r="A29" s="2" t="s">
        <v>42</v>
      </c>
      <c r="B29" s="2"/>
      <c r="C29" s="87" t="s">
        <v>36</v>
      </c>
      <c r="D29" s="87"/>
      <c r="E29" s="87"/>
    </row>
    <row r="30" spans="1:5" x14ac:dyDescent="0.25">
      <c r="A30" s="2"/>
      <c r="B30" s="2"/>
      <c r="C30" s="87" t="s">
        <v>39</v>
      </c>
      <c r="D30" s="87"/>
      <c r="E30" s="87"/>
    </row>
    <row r="31" spans="1:5" x14ac:dyDescent="0.25">
      <c r="A31" s="66"/>
      <c r="B31" s="66" t="s">
        <v>40</v>
      </c>
      <c r="C31" s="35" t="s">
        <v>39</v>
      </c>
      <c r="D31" s="66"/>
      <c r="E31" s="5"/>
    </row>
    <row r="32" spans="1:5" x14ac:dyDescent="0.25">
      <c r="A32" s="66" t="s">
        <v>157</v>
      </c>
      <c r="B32" s="66"/>
      <c r="C32" s="35" t="s">
        <v>200</v>
      </c>
      <c r="D32" s="66" t="s">
        <v>12</v>
      </c>
      <c r="E32" s="66" t="s">
        <v>27</v>
      </c>
    </row>
    <row r="33" spans="1:5" x14ac:dyDescent="0.25">
      <c r="A33" s="66" t="s">
        <v>18</v>
      </c>
      <c r="B33" s="66"/>
      <c r="C33" s="35" t="s">
        <v>204</v>
      </c>
      <c r="D33" s="66" t="s">
        <v>12</v>
      </c>
      <c r="E33" s="66" t="s">
        <v>157</v>
      </c>
    </row>
    <row r="34" spans="1:5" x14ac:dyDescent="0.25">
      <c r="A34" s="66" t="s">
        <v>24</v>
      </c>
      <c r="B34" s="66"/>
      <c r="C34" s="35" t="s">
        <v>211</v>
      </c>
      <c r="D34" s="66" t="s">
        <v>12</v>
      </c>
      <c r="E34" s="66" t="s">
        <v>157</v>
      </c>
    </row>
    <row r="35" spans="1:5" x14ac:dyDescent="0.25">
      <c r="A35" s="66" t="s">
        <v>27</v>
      </c>
      <c r="B35" s="64"/>
      <c r="C35" s="35" t="s">
        <v>212</v>
      </c>
      <c r="D35" s="66" t="s">
        <v>12</v>
      </c>
      <c r="E35" s="66" t="s">
        <v>24</v>
      </c>
    </row>
    <row r="36" spans="1:5" x14ac:dyDescent="0.25">
      <c r="A36" s="87" t="s">
        <v>41</v>
      </c>
      <c r="B36" s="87"/>
      <c r="C36" s="87"/>
      <c r="D36" s="87"/>
      <c r="E36" s="87"/>
    </row>
    <row r="37" spans="1:5" x14ac:dyDescent="0.25">
      <c r="A37" s="88" t="s">
        <v>54</v>
      </c>
      <c r="B37" s="89"/>
      <c r="C37" s="89"/>
      <c r="D37" s="89"/>
      <c r="E37" s="89"/>
    </row>
    <row r="38" spans="1:5" x14ac:dyDescent="0.25">
      <c r="A38" s="90" t="s">
        <v>55</v>
      </c>
      <c r="B38" s="91"/>
      <c r="C38" s="91"/>
      <c r="D38" s="91"/>
      <c r="E38" s="91"/>
    </row>
    <row r="39" spans="1:5" x14ac:dyDescent="0.25">
      <c r="A39" s="92" t="s">
        <v>56</v>
      </c>
      <c r="B39" s="93"/>
      <c r="C39" s="93"/>
      <c r="D39" s="93"/>
      <c r="E39" s="93"/>
    </row>
  </sheetData>
  <mergeCells count="20">
    <mergeCell ref="A1:E1"/>
    <mergeCell ref="A2:E2"/>
    <mergeCell ref="C4:E4"/>
    <mergeCell ref="A5:A6"/>
    <mergeCell ref="B5:B6"/>
    <mergeCell ref="A10:E10"/>
    <mergeCell ref="C11:E11"/>
    <mergeCell ref="A16:E16"/>
    <mergeCell ref="C17:E17"/>
    <mergeCell ref="A21:E21"/>
    <mergeCell ref="A38:E38"/>
    <mergeCell ref="A39:E39"/>
    <mergeCell ref="C22:E22"/>
    <mergeCell ref="A25:E25"/>
    <mergeCell ref="C26:E26"/>
    <mergeCell ref="A28:E28"/>
    <mergeCell ref="A37:E37"/>
    <mergeCell ref="C29:E29"/>
    <mergeCell ref="C30:E30"/>
    <mergeCell ref="A36:E36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G6" sqref="G5:G6"/>
    </sheetView>
  </sheetViews>
  <sheetFormatPr defaultRowHeight="15" x14ac:dyDescent="0.25"/>
  <cols>
    <col min="2" max="2" width="14.140625" customWidth="1"/>
    <col min="3" max="3" width="48.7109375" customWidth="1"/>
  </cols>
  <sheetData>
    <row r="1" spans="1:5" ht="78" customHeight="1" x14ac:dyDescent="0.25">
      <c r="A1" s="94" t="s">
        <v>170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185</v>
      </c>
      <c r="D6" s="66" t="s">
        <v>10</v>
      </c>
      <c r="E6" s="4">
        <f>544/1000</f>
        <v>0.54400000000000004</v>
      </c>
    </row>
    <row r="7" spans="1:5" x14ac:dyDescent="0.25">
      <c r="A7" s="87" t="s">
        <v>17</v>
      </c>
      <c r="B7" s="87"/>
      <c r="C7" s="87"/>
      <c r="D7" s="87"/>
      <c r="E7" s="87"/>
    </row>
    <row r="8" spans="1:5" x14ac:dyDescent="0.25">
      <c r="A8" s="2" t="s">
        <v>18</v>
      </c>
      <c r="B8" s="2"/>
      <c r="C8" s="87" t="s">
        <v>19</v>
      </c>
      <c r="D8" s="87"/>
      <c r="E8" s="87"/>
    </row>
    <row r="9" spans="1:5" x14ac:dyDescent="0.25">
      <c r="A9" s="66"/>
      <c r="B9" s="66" t="s">
        <v>20</v>
      </c>
      <c r="C9" s="3" t="s">
        <v>60</v>
      </c>
      <c r="D9" s="66"/>
      <c r="E9" s="7"/>
    </row>
    <row r="10" spans="1:5" ht="30" x14ac:dyDescent="0.25">
      <c r="A10" s="66" t="s">
        <v>157</v>
      </c>
      <c r="B10" s="66"/>
      <c r="C10" s="8" t="s">
        <v>61</v>
      </c>
      <c r="D10" s="66" t="s">
        <v>62</v>
      </c>
      <c r="E10" s="5">
        <v>23.6</v>
      </c>
    </row>
    <row r="11" spans="1:5" x14ac:dyDescent="0.25">
      <c r="A11" s="66"/>
      <c r="B11" s="66" t="s">
        <v>22</v>
      </c>
      <c r="C11" s="3" t="s">
        <v>63</v>
      </c>
      <c r="D11" s="66"/>
      <c r="E11" s="5"/>
    </row>
    <row r="12" spans="1:5" ht="30" x14ac:dyDescent="0.25">
      <c r="A12" s="66" t="s">
        <v>18</v>
      </c>
      <c r="B12" s="66"/>
      <c r="C12" s="8" t="s">
        <v>64</v>
      </c>
      <c r="D12" s="37" t="s">
        <v>62</v>
      </c>
      <c r="E12" s="5">
        <v>40.799999999999997</v>
      </c>
    </row>
    <row r="13" spans="1:5" x14ac:dyDescent="0.25">
      <c r="A13" s="87" t="s">
        <v>23</v>
      </c>
      <c r="B13" s="87"/>
      <c r="C13" s="87"/>
      <c r="D13" s="87"/>
      <c r="E13" s="87"/>
    </row>
    <row r="14" spans="1:5" x14ac:dyDescent="0.25">
      <c r="A14" s="2" t="s">
        <v>27</v>
      </c>
      <c r="B14" s="2"/>
      <c r="C14" s="87" t="s">
        <v>28</v>
      </c>
      <c r="D14" s="87"/>
      <c r="E14" s="87"/>
    </row>
    <row r="15" spans="1:5" ht="45" x14ac:dyDescent="0.25">
      <c r="A15" s="66" t="s">
        <v>157</v>
      </c>
      <c r="B15" s="66" t="s">
        <v>65</v>
      </c>
      <c r="C15" s="8" t="s">
        <v>67</v>
      </c>
      <c r="D15" s="5" t="s">
        <v>66</v>
      </c>
      <c r="E15" s="32">
        <f>E20</f>
        <v>544</v>
      </c>
    </row>
    <row r="16" spans="1:5" ht="45" x14ac:dyDescent="0.25">
      <c r="A16" s="66" t="s">
        <v>24</v>
      </c>
      <c r="B16" s="66" t="s">
        <v>65</v>
      </c>
      <c r="C16" s="8" t="s">
        <v>69</v>
      </c>
      <c r="D16" s="5" t="s">
        <v>66</v>
      </c>
      <c r="E16" s="32">
        <f>E20</f>
        <v>544</v>
      </c>
    </row>
    <row r="17" spans="1:5" ht="30" x14ac:dyDescent="0.25">
      <c r="A17" s="66" t="s">
        <v>27</v>
      </c>
      <c r="B17" s="66" t="s">
        <v>29</v>
      </c>
      <c r="C17" s="3" t="s">
        <v>319</v>
      </c>
      <c r="D17" s="66" t="s">
        <v>13</v>
      </c>
      <c r="E17" s="32">
        <f>E20</f>
        <v>544</v>
      </c>
    </row>
    <row r="18" spans="1:5" x14ac:dyDescent="0.25">
      <c r="A18" s="87" t="s">
        <v>30</v>
      </c>
      <c r="B18" s="87"/>
      <c r="C18" s="87"/>
      <c r="D18" s="87"/>
      <c r="E18" s="87"/>
    </row>
    <row r="19" spans="1:5" x14ac:dyDescent="0.25">
      <c r="A19" s="2" t="s">
        <v>31</v>
      </c>
      <c r="B19" s="2"/>
      <c r="C19" s="87" t="s">
        <v>32</v>
      </c>
      <c r="D19" s="87"/>
      <c r="E19" s="87"/>
    </row>
    <row r="20" spans="1:5" ht="45" x14ac:dyDescent="0.25">
      <c r="A20" s="66" t="s">
        <v>157</v>
      </c>
      <c r="B20" s="66" t="s">
        <v>316</v>
      </c>
      <c r="C20" s="8" t="s">
        <v>321</v>
      </c>
      <c r="D20" s="66" t="s">
        <v>13</v>
      </c>
      <c r="E20" s="5">
        <f>E6*1000*1</f>
        <v>544</v>
      </c>
    </row>
    <row r="21" spans="1:5" x14ac:dyDescent="0.25">
      <c r="A21" s="87" t="s">
        <v>34</v>
      </c>
      <c r="B21" s="87"/>
      <c r="C21" s="87"/>
      <c r="D21" s="87"/>
      <c r="E21" s="87"/>
    </row>
    <row r="22" spans="1:5" x14ac:dyDescent="0.25">
      <c r="A22" s="2" t="s">
        <v>35</v>
      </c>
      <c r="B22" s="2"/>
      <c r="C22" s="87" t="s">
        <v>70</v>
      </c>
      <c r="D22" s="87"/>
      <c r="E22" s="87"/>
    </row>
    <row r="23" spans="1:5" ht="17.25" x14ac:dyDescent="0.25">
      <c r="A23" s="2" t="s">
        <v>157</v>
      </c>
      <c r="B23" s="66" t="s">
        <v>318</v>
      </c>
      <c r="C23" s="3" t="s">
        <v>71</v>
      </c>
      <c r="D23" s="66" t="s">
        <v>13</v>
      </c>
      <c r="E23" s="5">
        <f>E20</f>
        <v>544</v>
      </c>
    </row>
    <row r="24" spans="1:5" x14ac:dyDescent="0.25">
      <c r="A24" s="87" t="s">
        <v>72</v>
      </c>
      <c r="B24" s="87"/>
      <c r="C24" s="87"/>
      <c r="D24" s="87"/>
      <c r="E24" s="87"/>
    </row>
    <row r="25" spans="1:5" x14ac:dyDescent="0.25">
      <c r="A25" s="2" t="s">
        <v>42</v>
      </c>
      <c r="B25" s="2"/>
      <c r="C25" s="87" t="s">
        <v>36</v>
      </c>
      <c r="D25" s="87"/>
      <c r="E25" s="87"/>
    </row>
    <row r="26" spans="1:5" x14ac:dyDescent="0.25">
      <c r="A26" s="2"/>
      <c r="B26" s="2"/>
      <c r="C26" s="87" t="s">
        <v>39</v>
      </c>
      <c r="D26" s="87"/>
      <c r="E26" s="87"/>
    </row>
    <row r="27" spans="1:5" x14ac:dyDescent="0.25">
      <c r="A27" s="66" t="s">
        <v>18</v>
      </c>
      <c r="B27" s="66" t="s">
        <v>40</v>
      </c>
      <c r="C27" s="35" t="s">
        <v>163</v>
      </c>
      <c r="D27" s="66"/>
      <c r="E27" s="5"/>
    </row>
    <row r="28" spans="1:5" x14ac:dyDescent="0.25">
      <c r="A28" s="66" t="s">
        <v>157</v>
      </c>
      <c r="B28" s="66"/>
      <c r="C28" s="35" t="s">
        <v>200</v>
      </c>
      <c r="D28" s="66" t="s">
        <v>12</v>
      </c>
      <c r="E28" s="66" t="s">
        <v>157</v>
      </c>
    </row>
    <row r="29" spans="1:5" x14ac:dyDescent="0.25">
      <c r="A29" s="66" t="s">
        <v>18</v>
      </c>
      <c r="B29" s="66"/>
      <c r="C29" s="35" t="s">
        <v>211</v>
      </c>
      <c r="D29" s="66" t="s">
        <v>12</v>
      </c>
      <c r="E29" s="66" t="s">
        <v>18</v>
      </c>
    </row>
    <row r="30" spans="1:5" x14ac:dyDescent="0.25">
      <c r="A30" s="66" t="s">
        <v>24</v>
      </c>
      <c r="B30" s="66"/>
      <c r="C30" s="35" t="s">
        <v>203</v>
      </c>
      <c r="D30" s="66" t="s">
        <v>12</v>
      </c>
      <c r="E30" s="66" t="s">
        <v>18</v>
      </c>
    </row>
    <row r="31" spans="1:5" x14ac:dyDescent="0.25">
      <c r="A31" s="66" t="s">
        <v>27</v>
      </c>
      <c r="B31" s="66"/>
      <c r="C31" s="35" t="s">
        <v>212</v>
      </c>
      <c r="D31" s="66" t="s">
        <v>12</v>
      </c>
      <c r="E31" s="66" t="s">
        <v>18</v>
      </c>
    </row>
    <row r="32" spans="1:5" x14ac:dyDescent="0.25">
      <c r="A32" s="87" t="s">
        <v>41</v>
      </c>
      <c r="B32" s="87"/>
      <c r="C32" s="87"/>
      <c r="D32" s="87"/>
      <c r="E32" s="87"/>
    </row>
    <row r="33" spans="1:5" x14ac:dyDescent="0.25">
      <c r="A33" s="88" t="s">
        <v>54</v>
      </c>
      <c r="B33" s="89"/>
      <c r="C33" s="89"/>
      <c r="D33" s="89"/>
      <c r="E33" s="89"/>
    </row>
    <row r="34" spans="1:5" x14ac:dyDescent="0.25">
      <c r="A34" s="90" t="s">
        <v>55</v>
      </c>
      <c r="B34" s="91"/>
      <c r="C34" s="91"/>
      <c r="D34" s="91"/>
      <c r="E34" s="91"/>
    </row>
    <row r="35" spans="1:5" x14ac:dyDescent="0.25">
      <c r="A35" s="92" t="s">
        <v>56</v>
      </c>
      <c r="B35" s="93"/>
      <c r="C35" s="93"/>
      <c r="D35" s="93"/>
      <c r="E35" s="93"/>
    </row>
  </sheetData>
  <mergeCells count="20">
    <mergeCell ref="A1:E1"/>
    <mergeCell ref="A2:E2"/>
    <mergeCell ref="C4:E4"/>
    <mergeCell ref="A5:A6"/>
    <mergeCell ref="B5:B6"/>
    <mergeCell ref="C25:E25"/>
    <mergeCell ref="A7:E7"/>
    <mergeCell ref="C8:E8"/>
    <mergeCell ref="A13:E13"/>
    <mergeCell ref="C14:E14"/>
    <mergeCell ref="A18:E18"/>
    <mergeCell ref="C19:E19"/>
    <mergeCell ref="A21:E21"/>
    <mergeCell ref="C22:E22"/>
    <mergeCell ref="A24:E24"/>
    <mergeCell ref="A33:E33"/>
    <mergeCell ref="A34:E34"/>
    <mergeCell ref="A35:E35"/>
    <mergeCell ref="C26:E26"/>
    <mergeCell ref="A32:E32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00" workbookViewId="0">
      <selection activeCell="A2" sqref="A2:XFD2"/>
    </sheetView>
  </sheetViews>
  <sheetFormatPr defaultRowHeight="15" x14ac:dyDescent="0.25"/>
  <cols>
    <col min="2" max="2" width="15.28515625" customWidth="1"/>
    <col min="3" max="3" width="56" customWidth="1"/>
  </cols>
  <sheetData>
    <row r="1" spans="1:5" ht="64.5" customHeight="1" x14ac:dyDescent="0.25">
      <c r="A1" s="94" t="s">
        <v>171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3019/1000</f>
        <v>3.0190000000000001</v>
      </c>
    </row>
    <row r="7" spans="1:5" x14ac:dyDescent="0.25">
      <c r="A7" s="87" t="s">
        <v>17</v>
      </c>
      <c r="B7" s="87"/>
      <c r="C7" s="87"/>
      <c r="D7" s="87"/>
      <c r="E7" s="87"/>
    </row>
    <row r="8" spans="1:5" x14ac:dyDescent="0.25">
      <c r="A8" s="2" t="s">
        <v>18</v>
      </c>
      <c r="B8" s="2"/>
      <c r="C8" s="87" t="s">
        <v>19</v>
      </c>
      <c r="D8" s="87"/>
      <c r="E8" s="87"/>
    </row>
    <row r="9" spans="1:5" x14ac:dyDescent="0.25">
      <c r="A9" s="66"/>
      <c r="B9" s="66" t="s">
        <v>20</v>
      </c>
      <c r="C9" s="3" t="s">
        <v>60</v>
      </c>
      <c r="D9" s="66"/>
      <c r="E9" s="7"/>
    </row>
    <row r="10" spans="1:5" ht="30" x14ac:dyDescent="0.25">
      <c r="A10" s="66" t="s">
        <v>157</v>
      </c>
      <c r="B10" s="66"/>
      <c r="C10" s="8" t="s">
        <v>61</v>
      </c>
      <c r="D10" s="66" t="s">
        <v>62</v>
      </c>
      <c r="E10" s="5">
        <v>168.3</v>
      </c>
    </row>
    <row r="11" spans="1:5" x14ac:dyDescent="0.25">
      <c r="A11" s="66"/>
      <c r="B11" s="66" t="s">
        <v>22</v>
      </c>
      <c r="C11" s="3" t="s">
        <v>63</v>
      </c>
      <c r="D11" s="66"/>
      <c r="E11" s="5"/>
    </row>
    <row r="12" spans="1:5" ht="30" x14ac:dyDescent="0.25">
      <c r="A12" s="66" t="s">
        <v>18</v>
      </c>
      <c r="B12" s="66"/>
      <c r="C12" s="8" t="s">
        <v>190</v>
      </c>
      <c r="D12" s="66" t="s">
        <v>62</v>
      </c>
      <c r="E12" s="5">
        <v>206.3</v>
      </c>
    </row>
    <row r="13" spans="1:5" x14ac:dyDescent="0.25">
      <c r="A13" s="87" t="s">
        <v>23</v>
      </c>
      <c r="B13" s="87"/>
      <c r="C13" s="87"/>
      <c r="D13" s="87"/>
      <c r="E13" s="87"/>
    </row>
    <row r="14" spans="1:5" x14ac:dyDescent="0.25">
      <c r="A14" s="2" t="s">
        <v>27</v>
      </c>
      <c r="B14" s="2"/>
      <c r="C14" s="87" t="s">
        <v>28</v>
      </c>
      <c r="D14" s="87"/>
      <c r="E14" s="87"/>
    </row>
    <row r="15" spans="1:5" ht="30" x14ac:dyDescent="0.25">
      <c r="A15" s="66" t="s">
        <v>157</v>
      </c>
      <c r="B15" s="66" t="s">
        <v>65</v>
      </c>
      <c r="C15" s="8" t="s">
        <v>67</v>
      </c>
      <c r="D15" s="5" t="s">
        <v>66</v>
      </c>
      <c r="E15" s="32">
        <f>E20</f>
        <v>3019</v>
      </c>
    </row>
    <row r="16" spans="1:5" ht="30" x14ac:dyDescent="0.25">
      <c r="A16" s="66" t="s">
        <v>24</v>
      </c>
      <c r="B16" s="66" t="s">
        <v>65</v>
      </c>
      <c r="C16" s="8" t="s">
        <v>69</v>
      </c>
      <c r="D16" s="5" t="s">
        <v>66</v>
      </c>
      <c r="E16" s="32">
        <f>E20</f>
        <v>3019</v>
      </c>
    </row>
    <row r="17" spans="1:5" ht="30" x14ac:dyDescent="0.25">
      <c r="A17" s="66" t="s">
        <v>27</v>
      </c>
      <c r="B17" s="66" t="s">
        <v>29</v>
      </c>
      <c r="C17" s="3" t="s">
        <v>319</v>
      </c>
      <c r="D17" s="66" t="s">
        <v>13</v>
      </c>
      <c r="E17" s="32">
        <f>E20</f>
        <v>3019</v>
      </c>
    </row>
    <row r="18" spans="1:5" x14ac:dyDescent="0.25">
      <c r="A18" s="87" t="s">
        <v>30</v>
      </c>
      <c r="B18" s="87"/>
      <c r="C18" s="87"/>
      <c r="D18" s="87"/>
      <c r="E18" s="87"/>
    </row>
    <row r="19" spans="1:5" x14ac:dyDescent="0.25">
      <c r="A19" s="2" t="s">
        <v>31</v>
      </c>
      <c r="B19" s="2"/>
      <c r="C19" s="87" t="s">
        <v>32</v>
      </c>
      <c r="D19" s="87"/>
      <c r="E19" s="87"/>
    </row>
    <row r="20" spans="1:5" ht="45" x14ac:dyDescent="0.25">
      <c r="A20" s="66" t="s">
        <v>157</v>
      </c>
      <c r="B20" s="66" t="s">
        <v>316</v>
      </c>
      <c r="C20" s="8" t="s">
        <v>321</v>
      </c>
      <c r="D20" s="66" t="s">
        <v>13</v>
      </c>
      <c r="E20" s="5">
        <f>E6*1000*1</f>
        <v>3019</v>
      </c>
    </row>
    <row r="21" spans="1:5" x14ac:dyDescent="0.25">
      <c r="A21" s="87" t="s">
        <v>34</v>
      </c>
      <c r="B21" s="87"/>
      <c r="C21" s="87"/>
      <c r="D21" s="87"/>
      <c r="E21" s="87"/>
    </row>
    <row r="22" spans="1:5" x14ac:dyDescent="0.25">
      <c r="A22" s="2" t="s">
        <v>35</v>
      </c>
      <c r="B22" s="2"/>
      <c r="C22" s="87" t="s">
        <v>70</v>
      </c>
      <c r="D22" s="87"/>
      <c r="E22" s="87"/>
    </row>
    <row r="23" spans="1:5" ht="17.25" x14ac:dyDescent="0.25">
      <c r="A23" s="66" t="s">
        <v>157</v>
      </c>
      <c r="B23" s="66" t="s">
        <v>318</v>
      </c>
      <c r="C23" s="3" t="s">
        <v>71</v>
      </c>
      <c r="D23" s="66" t="s">
        <v>13</v>
      </c>
      <c r="E23" s="5">
        <f>E20</f>
        <v>3019</v>
      </c>
    </row>
    <row r="24" spans="1:5" x14ac:dyDescent="0.25">
      <c r="A24" s="87" t="s">
        <v>72</v>
      </c>
      <c r="B24" s="87"/>
      <c r="C24" s="87"/>
      <c r="D24" s="87"/>
      <c r="E24" s="87"/>
    </row>
    <row r="25" spans="1:5" x14ac:dyDescent="0.25">
      <c r="A25" s="2" t="s">
        <v>42</v>
      </c>
      <c r="B25" s="2"/>
      <c r="C25" s="87" t="s">
        <v>36</v>
      </c>
      <c r="D25" s="87"/>
      <c r="E25" s="87"/>
    </row>
    <row r="26" spans="1:5" x14ac:dyDescent="0.25">
      <c r="A26" s="2"/>
      <c r="B26" s="2"/>
      <c r="C26" s="87" t="s">
        <v>39</v>
      </c>
      <c r="D26" s="87"/>
      <c r="E26" s="87"/>
    </row>
    <row r="27" spans="1:5" x14ac:dyDescent="0.25">
      <c r="A27" s="66"/>
      <c r="B27" s="66" t="s">
        <v>40</v>
      </c>
      <c r="C27" s="35" t="s">
        <v>39</v>
      </c>
      <c r="D27" s="62"/>
      <c r="E27" s="66"/>
    </row>
    <row r="28" spans="1:5" x14ac:dyDescent="0.25">
      <c r="A28" s="66" t="s">
        <v>157</v>
      </c>
      <c r="B28" s="64"/>
      <c r="C28" s="35" t="s">
        <v>200</v>
      </c>
      <c r="D28" s="66" t="s">
        <v>12</v>
      </c>
      <c r="E28" s="5" t="s">
        <v>213</v>
      </c>
    </row>
    <row r="29" spans="1:5" x14ac:dyDescent="0.25">
      <c r="A29" s="66" t="s">
        <v>18</v>
      </c>
      <c r="B29" s="64"/>
      <c r="C29" s="35" t="s">
        <v>204</v>
      </c>
      <c r="D29" s="66" t="s">
        <v>12</v>
      </c>
      <c r="E29" s="5">
        <v>8</v>
      </c>
    </row>
    <row r="30" spans="1:5" x14ac:dyDescent="0.25">
      <c r="A30" s="66" t="s">
        <v>24</v>
      </c>
      <c r="B30" s="64"/>
      <c r="C30" s="35" t="s">
        <v>206</v>
      </c>
      <c r="D30" s="66" t="s">
        <v>12</v>
      </c>
      <c r="E30" s="5">
        <v>2</v>
      </c>
    </row>
    <row r="31" spans="1:5" x14ac:dyDescent="0.25">
      <c r="A31" s="66" t="s">
        <v>27</v>
      </c>
      <c r="B31" s="64"/>
      <c r="C31" s="35" t="s">
        <v>212</v>
      </c>
      <c r="D31" s="66" t="s">
        <v>12</v>
      </c>
      <c r="E31" s="5">
        <v>15</v>
      </c>
    </row>
    <row r="32" spans="1:5" x14ac:dyDescent="0.25">
      <c r="A32" s="98" t="s">
        <v>41</v>
      </c>
      <c r="B32" s="99"/>
      <c r="C32" s="99"/>
      <c r="D32" s="99"/>
      <c r="E32" s="99"/>
    </row>
    <row r="33" spans="1:5" x14ac:dyDescent="0.25">
      <c r="A33" s="2"/>
      <c r="B33" s="2"/>
      <c r="C33" s="87" t="s">
        <v>166</v>
      </c>
      <c r="D33" s="87"/>
      <c r="E33" s="87"/>
    </row>
    <row r="34" spans="1:5" x14ac:dyDescent="0.25">
      <c r="A34" s="66" t="s">
        <v>157</v>
      </c>
      <c r="B34" s="66" t="s">
        <v>322</v>
      </c>
      <c r="C34" s="35" t="s">
        <v>142</v>
      </c>
      <c r="D34" s="66" t="s">
        <v>12</v>
      </c>
      <c r="E34" s="7">
        <v>1</v>
      </c>
    </row>
    <row r="35" spans="1:5" x14ac:dyDescent="0.25">
      <c r="A35" s="66" t="s">
        <v>18</v>
      </c>
      <c r="B35" s="66" t="s">
        <v>322</v>
      </c>
      <c r="C35" s="35" t="s">
        <v>135</v>
      </c>
      <c r="D35" s="66" t="s">
        <v>12</v>
      </c>
      <c r="E35" s="7">
        <v>1</v>
      </c>
    </row>
    <row r="36" spans="1:5" x14ac:dyDescent="0.25">
      <c r="A36" s="66" t="s">
        <v>24</v>
      </c>
      <c r="B36" s="66" t="s">
        <v>322</v>
      </c>
      <c r="C36" s="35" t="s">
        <v>136</v>
      </c>
      <c r="D36" s="66" t="s">
        <v>12</v>
      </c>
      <c r="E36" s="7">
        <v>2</v>
      </c>
    </row>
    <row r="37" spans="1:5" x14ac:dyDescent="0.25">
      <c r="A37" s="66" t="s">
        <v>27</v>
      </c>
      <c r="B37" s="66" t="s">
        <v>322</v>
      </c>
      <c r="C37" s="35" t="s">
        <v>137</v>
      </c>
      <c r="D37" s="66" t="s">
        <v>12</v>
      </c>
      <c r="E37" s="7">
        <v>4</v>
      </c>
    </row>
    <row r="38" spans="1:5" x14ac:dyDescent="0.25">
      <c r="A38" s="66" t="s">
        <v>31</v>
      </c>
      <c r="B38" s="66" t="s">
        <v>323</v>
      </c>
      <c r="C38" s="35" t="s">
        <v>141</v>
      </c>
      <c r="D38" s="66" t="s">
        <v>12</v>
      </c>
      <c r="E38" s="7">
        <v>1</v>
      </c>
    </row>
    <row r="39" spans="1:5" ht="17.25" x14ac:dyDescent="0.25">
      <c r="A39" s="66" t="s">
        <v>35</v>
      </c>
      <c r="B39" s="66" t="s">
        <v>322</v>
      </c>
      <c r="C39" s="35" t="s">
        <v>140</v>
      </c>
      <c r="D39" s="66" t="s">
        <v>13</v>
      </c>
      <c r="E39" s="7">
        <f>(1.5*6+1.5*(2.5+4)+(2.5+5)*(1.5+3))</f>
        <v>52.5</v>
      </c>
    </row>
    <row r="40" spans="1:5" ht="17.25" x14ac:dyDescent="0.25">
      <c r="A40" s="66" t="s">
        <v>42</v>
      </c>
      <c r="B40" s="66" t="s">
        <v>322</v>
      </c>
      <c r="C40" s="35" t="s">
        <v>138</v>
      </c>
      <c r="D40" s="66" t="s">
        <v>13</v>
      </c>
      <c r="E40" s="7">
        <f>((3+1.5)*(2.5+4)+(2.5+5)*1.5+1.5*6)</f>
        <v>49.5</v>
      </c>
    </row>
    <row r="41" spans="1:5" ht="17.25" x14ac:dyDescent="0.25">
      <c r="A41" s="66" t="s">
        <v>47</v>
      </c>
      <c r="B41" s="66" t="s">
        <v>322</v>
      </c>
      <c r="C41" s="35" t="s">
        <v>139</v>
      </c>
      <c r="D41" s="66" t="s">
        <v>13</v>
      </c>
      <c r="E41" s="7">
        <f>(6*6.85)</f>
        <v>41.099999999999994</v>
      </c>
    </row>
    <row r="42" spans="1:5" x14ac:dyDescent="0.25">
      <c r="A42" s="87" t="s">
        <v>53</v>
      </c>
      <c r="B42" s="87"/>
      <c r="C42" s="87"/>
      <c r="D42" s="87"/>
      <c r="E42" s="87"/>
    </row>
    <row r="43" spans="1:5" x14ac:dyDescent="0.25">
      <c r="A43" s="88" t="s">
        <v>54</v>
      </c>
      <c r="B43" s="89"/>
      <c r="C43" s="89"/>
      <c r="D43" s="89"/>
      <c r="E43" s="89"/>
    </row>
    <row r="44" spans="1:5" x14ac:dyDescent="0.25">
      <c r="A44" s="90" t="s">
        <v>55</v>
      </c>
      <c r="B44" s="91"/>
      <c r="C44" s="91"/>
      <c r="D44" s="91"/>
      <c r="E44" s="91"/>
    </row>
    <row r="45" spans="1:5" x14ac:dyDescent="0.25">
      <c r="A45" s="92" t="s">
        <v>56</v>
      </c>
      <c r="B45" s="93"/>
      <c r="C45" s="93"/>
      <c r="D45" s="93"/>
      <c r="E45" s="93"/>
    </row>
  </sheetData>
  <mergeCells count="22">
    <mergeCell ref="C25:E25"/>
    <mergeCell ref="C26:E26"/>
    <mergeCell ref="A32:E32"/>
    <mergeCell ref="A7:E7"/>
    <mergeCell ref="C8:E8"/>
    <mergeCell ref="A13:E13"/>
    <mergeCell ref="C14:E14"/>
    <mergeCell ref="A18:E18"/>
    <mergeCell ref="C19:E19"/>
    <mergeCell ref="A21:E21"/>
    <mergeCell ref="C22:E22"/>
    <mergeCell ref="A24:E24"/>
    <mergeCell ref="A1:E1"/>
    <mergeCell ref="A2:E2"/>
    <mergeCell ref="C4:E4"/>
    <mergeCell ref="A5:A6"/>
    <mergeCell ref="B5:B6"/>
    <mergeCell ref="A43:E43"/>
    <mergeCell ref="A44:E44"/>
    <mergeCell ref="A45:E45"/>
    <mergeCell ref="C33:E33"/>
    <mergeCell ref="A42:E42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00" workbookViewId="0">
      <selection activeCell="A2" sqref="A2:XFD2"/>
    </sheetView>
  </sheetViews>
  <sheetFormatPr defaultRowHeight="15" x14ac:dyDescent="0.25"/>
  <cols>
    <col min="2" max="2" width="17.42578125" customWidth="1"/>
    <col min="3" max="3" width="45.85546875" customWidth="1"/>
  </cols>
  <sheetData>
    <row r="1" spans="1:5" ht="59.25" customHeight="1" x14ac:dyDescent="0.25">
      <c r="A1" s="94" t="s">
        <v>172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2235/1000</f>
        <v>2.2349999999999999</v>
      </c>
    </row>
    <row r="7" spans="1:5" x14ac:dyDescent="0.25">
      <c r="A7" s="87" t="s">
        <v>17</v>
      </c>
      <c r="B7" s="87"/>
      <c r="C7" s="87"/>
      <c r="D7" s="87"/>
      <c r="E7" s="87"/>
    </row>
    <row r="8" spans="1:5" x14ac:dyDescent="0.25">
      <c r="A8" s="2" t="s">
        <v>18</v>
      </c>
      <c r="B8" s="2"/>
      <c r="C8" s="87" t="s">
        <v>19</v>
      </c>
      <c r="D8" s="87"/>
      <c r="E8" s="87"/>
    </row>
    <row r="9" spans="1:5" x14ac:dyDescent="0.25">
      <c r="A9" s="66"/>
      <c r="B9" s="66" t="s">
        <v>20</v>
      </c>
      <c r="C9" s="3" t="s">
        <v>60</v>
      </c>
      <c r="D9" s="66"/>
      <c r="E9" s="7"/>
    </row>
    <row r="10" spans="1:5" ht="30" x14ac:dyDescent="0.25">
      <c r="A10" s="66" t="s">
        <v>157</v>
      </c>
      <c r="B10" s="66"/>
      <c r="C10" s="8" t="s">
        <v>61</v>
      </c>
      <c r="D10" s="66" t="s">
        <v>62</v>
      </c>
      <c r="E10" s="5">
        <v>119.6</v>
      </c>
    </row>
    <row r="11" spans="1:5" x14ac:dyDescent="0.25">
      <c r="A11" s="66"/>
      <c r="B11" s="66" t="s">
        <v>22</v>
      </c>
      <c r="C11" s="3" t="s">
        <v>63</v>
      </c>
      <c r="D11" s="66"/>
      <c r="E11" s="5"/>
    </row>
    <row r="12" spans="1:5" ht="30" x14ac:dyDescent="0.25">
      <c r="A12" s="66" t="s">
        <v>18</v>
      </c>
      <c r="B12" s="66"/>
      <c r="C12" s="8" t="s">
        <v>64</v>
      </c>
      <c r="D12" s="66" t="s">
        <v>62</v>
      </c>
      <c r="E12" s="5">
        <v>1106.0999999999999</v>
      </c>
    </row>
    <row r="13" spans="1:5" x14ac:dyDescent="0.25">
      <c r="A13" s="87" t="s">
        <v>23</v>
      </c>
      <c r="B13" s="87"/>
      <c r="C13" s="87"/>
      <c r="D13" s="87"/>
      <c r="E13" s="87"/>
    </row>
    <row r="14" spans="1:5" x14ac:dyDescent="0.25">
      <c r="A14" s="2" t="s">
        <v>27</v>
      </c>
      <c r="B14" s="2"/>
      <c r="C14" s="87" t="s">
        <v>28</v>
      </c>
      <c r="D14" s="87"/>
      <c r="E14" s="87"/>
    </row>
    <row r="15" spans="1:5" ht="45" x14ac:dyDescent="0.25">
      <c r="A15" s="66" t="s">
        <v>157</v>
      </c>
      <c r="B15" s="66" t="s">
        <v>65</v>
      </c>
      <c r="C15" s="8" t="s">
        <v>67</v>
      </c>
      <c r="D15" s="5" t="s">
        <v>66</v>
      </c>
      <c r="E15" s="32">
        <f>E20</f>
        <v>2235</v>
      </c>
    </row>
    <row r="16" spans="1:5" ht="45" x14ac:dyDescent="0.25">
      <c r="A16" s="66" t="s">
        <v>24</v>
      </c>
      <c r="B16" s="66" t="s">
        <v>65</v>
      </c>
      <c r="C16" s="8" t="s">
        <v>69</v>
      </c>
      <c r="D16" s="5" t="s">
        <v>66</v>
      </c>
      <c r="E16" s="32">
        <f>E20</f>
        <v>2235</v>
      </c>
    </row>
    <row r="17" spans="1:5" ht="30" x14ac:dyDescent="0.25">
      <c r="A17" s="66" t="s">
        <v>27</v>
      </c>
      <c r="B17" s="66" t="s">
        <v>29</v>
      </c>
      <c r="C17" s="3" t="s">
        <v>319</v>
      </c>
      <c r="D17" s="66" t="s">
        <v>13</v>
      </c>
      <c r="E17" s="32">
        <f>E20</f>
        <v>2235</v>
      </c>
    </row>
    <row r="18" spans="1:5" x14ac:dyDescent="0.25">
      <c r="A18" s="87" t="s">
        <v>30</v>
      </c>
      <c r="B18" s="87"/>
      <c r="C18" s="87"/>
      <c r="D18" s="87"/>
      <c r="E18" s="87"/>
    </row>
    <row r="19" spans="1:5" x14ac:dyDescent="0.25">
      <c r="A19" s="2" t="s">
        <v>31</v>
      </c>
      <c r="B19" s="2"/>
      <c r="C19" s="87" t="s">
        <v>32</v>
      </c>
      <c r="D19" s="87"/>
      <c r="E19" s="87"/>
    </row>
    <row r="20" spans="1:5" ht="45" x14ac:dyDescent="0.25">
      <c r="A20" s="66" t="s">
        <v>157</v>
      </c>
      <c r="B20" s="66" t="s">
        <v>316</v>
      </c>
      <c r="C20" s="8" t="s">
        <v>321</v>
      </c>
      <c r="D20" s="66" t="s">
        <v>13</v>
      </c>
      <c r="E20" s="5">
        <f>E6*1000*1</f>
        <v>2235</v>
      </c>
    </row>
    <row r="21" spans="1:5" x14ac:dyDescent="0.25">
      <c r="A21" s="87" t="s">
        <v>34</v>
      </c>
      <c r="B21" s="87"/>
      <c r="C21" s="87"/>
      <c r="D21" s="87"/>
      <c r="E21" s="87"/>
    </row>
    <row r="22" spans="1:5" x14ac:dyDescent="0.25">
      <c r="A22" s="2" t="s">
        <v>35</v>
      </c>
      <c r="B22" s="2"/>
      <c r="C22" s="87" t="s">
        <v>70</v>
      </c>
      <c r="D22" s="87"/>
      <c r="E22" s="87"/>
    </row>
    <row r="23" spans="1:5" ht="17.25" x14ac:dyDescent="0.25">
      <c r="A23" s="2"/>
      <c r="B23" s="66" t="s">
        <v>318</v>
      </c>
      <c r="C23" s="3" t="s">
        <v>71</v>
      </c>
      <c r="D23" s="66" t="s">
        <v>13</v>
      </c>
      <c r="E23" s="5">
        <f>E20</f>
        <v>2235</v>
      </c>
    </row>
    <row r="24" spans="1:5" x14ac:dyDescent="0.25">
      <c r="A24" s="87" t="s">
        <v>72</v>
      </c>
      <c r="B24" s="87"/>
      <c r="C24" s="87"/>
      <c r="D24" s="87"/>
      <c r="E24" s="87"/>
    </row>
    <row r="25" spans="1:5" x14ac:dyDescent="0.25">
      <c r="A25" s="2" t="s">
        <v>42</v>
      </c>
      <c r="B25" s="2"/>
      <c r="C25" s="87" t="s">
        <v>36</v>
      </c>
      <c r="D25" s="87"/>
      <c r="E25" s="87"/>
    </row>
    <row r="26" spans="1:5" x14ac:dyDescent="0.25">
      <c r="A26" s="2"/>
      <c r="B26" s="2"/>
      <c r="C26" s="87" t="s">
        <v>39</v>
      </c>
      <c r="D26" s="87"/>
      <c r="E26" s="87"/>
    </row>
    <row r="27" spans="1:5" x14ac:dyDescent="0.25">
      <c r="A27" s="66"/>
      <c r="B27" s="66" t="s">
        <v>40</v>
      </c>
      <c r="C27" s="35" t="s">
        <v>163</v>
      </c>
      <c r="D27" s="62"/>
      <c r="E27" s="66"/>
    </row>
    <row r="28" spans="1:5" x14ac:dyDescent="0.25">
      <c r="A28" s="66" t="s">
        <v>157</v>
      </c>
      <c r="B28" s="66"/>
      <c r="C28" s="35" t="s">
        <v>200</v>
      </c>
      <c r="D28" s="66" t="s">
        <v>12</v>
      </c>
      <c r="E28" s="66" t="s">
        <v>31</v>
      </c>
    </row>
    <row r="29" spans="1:5" x14ac:dyDescent="0.25">
      <c r="A29" s="66" t="s">
        <v>18</v>
      </c>
      <c r="B29" s="66"/>
      <c r="C29" s="35" t="s">
        <v>204</v>
      </c>
      <c r="D29" s="66" t="s">
        <v>12</v>
      </c>
      <c r="E29" s="66" t="s">
        <v>18</v>
      </c>
    </row>
    <row r="30" spans="1:5" x14ac:dyDescent="0.25">
      <c r="A30" s="66" t="s">
        <v>24</v>
      </c>
      <c r="B30" s="66"/>
      <c r="C30" s="35" t="s">
        <v>215</v>
      </c>
      <c r="D30" s="66" t="s">
        <v>12</v>
      </c>
      <c r="E30" s="66" t="s">
        <v>157</v>
      </c>
    </row>
    <row r="31" spans="1:5" x14ac:dyDescent="0.25">
      <c r="A31" s="66" t="s">
        <v>27</v>
      </c>
      <c r="B31" s="66"/>
      <c r="C31" s="35" t="s">
        <v>211</v>
      </c>
      <c r="D31" s="66" t="s">
        <v>12</v>
      </c>
      <c r="E31" s="66" t="s">
        <v>157</v>
      </c>
    </row>
    <row r="32" spans="1:5" x14ac:dyDescent="0.25">
      <c r="A32" s="66" t="s">
        <v>31</v>
      </c>
      <c r="B32" s="66"/>
      <c r="C32" s="35" t="s">
        <v>217</v>
      </c>
      <c r="D32" s="66" t="s">
        <v>12</v>
      </c>
      <c r="E32" s="66" t="s">
        <v>18</v>
      </c>
    </row>
    <row r="33" spans="1:5" x14ac:dyDescent="0.25">
      <c r="A33" s="66" t="s">
        <v>35</v>
      </c>
      <c r="B33" s="66"/>
      <c r="C33" s="35" t="s">
        <v>218</v>
      </c>
      <c r="D33" s="66" t="s">
        <v>12</v>
      </c>
      <c r="E33" s="66" t="s">
        <v>157</v>
      </c>
    </row>
    <row r="34" spans="1:5" x14ac:dyDescent="0.25">
      <c r="A34" s="66" t="s">
        <v>42</v>
      </c>
      <c r="B34" s="66"/>
      <c r="C34" s="35" t="s">
        <v>199</v>
      </c>
      <c r="D34" s="66" t="s">
        <v>12</v>
      </c>
      <c r="E34" s="66" t="s">
        <v>157</v>
      </c>
    </row>
    <row r="35" spans="1:5" x14ac:dyDescent="0.25">
      <c r="A35" s="66" t="s">
        <v>47</v>
      </c>
      <c r="B35" s="66"/>
      <c r="C35" s="35" t="s">
        <v>203</v>
      </c>
      <c r="D35" s="66" t="s">
        <v>12</v>
      </c>
      <c r="E35" s="66" t="s">
        <v>157</v>
      </c>
    </row>
    <row r="36" spans="1:5" x14ac:dyDescent="0.25">
      <c r="A36" s="66" t="s">
        <v>160</v>
      </c>
      <c r="B36" s="66"/>
      <c r="C36" s="35" t="s">
        <v>206</v>
      </c>
      <c r="D36" s="66" t="s">
        <v>12</v>
      </c>
      <c r="E36" s="66" t="s">
        <v>157</v>
      </c>
    </row>
    <row r="37" spans="1:5" x14ac:dyDescent="0.25">
      <c r="A37" s="66">
        <v>10</v>
      </c>
      <c r="B37" s="34"/>
      <c r="C37" s="34" t="s">
        <v>216</v>
      </c>
      <c r="D37" s="66" t="s">
        <v>12</v>
      </c>
      <c r="E37" s="66">
        <v>1</v>
      </c>
    </row>
    <row r="38" spans="1:5" x14ac:dyDescent="0.25">
      <c r="A38" s="66">
        <v>11</v>
      </c>
      <c r="B38" s="34"/>
      <c r="C38" s="34" t="s">
        <v>212</v>
      </c>
      <c r="D38" s="66" t="s">
        <v>12</v>
      </c>
      <c r="E38" s="66">
        <v>10</v>
      </c>
    </row>
    <row r="39" spans="1:5" x14ac:dyDescent="0.25">
      <c r="A39" s="66"/>
      <c r="B39" s="2"/>
      <c r="C39" s="87" t="s">
        <v>37</v>
      </c>
      <c r="D39" s="87"/>
      <c r="E39" s="87"/>
    </row>
    <row r="40" spans="1:5" x14ac:dyDescent="0.25">
      <c r="A40" s="66"/>
      <c r="B40" s="66" t="s">
        <v>38</v>
      </c>
      <c r="C40" s="35" t="s">
        <v>163</v>
      </c>
      <c r="D40" s="34"/>
      <c r="E40" s="34"/>
    </row>
    <row r="41" spans="1:5" x14ac:dyDescent="0.25">
      <c r="A41" s="66" t="s">
        <v>157</v>
      </c>
      <c r="B41" s="66"/>
      <c r="C41" s="35" t="s">
        <v>214</v>
      </c>
      <c r="D41" s="66" t="s">
        <v>12</v>
      </c>
      <c r="E41" s="66" t="s">
        <v>157</v>
      </c>
    </row>
    <row r="42" spans="1:5" x14ac:dyDescent="0.25">
      <c r="A42" s="87" t="s">
        <v>41</v>
      </c>
      <c r="B42" s="87"/>
      <c r="C42" s="87"/>
      <c r="D42" s="87"/>
      <c r="E42" s="87"/>
    </row>
    <row r="43" spans="1:5" x14ac:dyDescent="0.25">
      <c r="A43" s="88" t="s">
        <v>54</v>
      </c>
      <c r="B43" s="89"/>
      <c r="C43" s="89"/>
      <c r="D43" s="89"/>
      <c r="E43" s="89"/>
    </row>
    <row r="44" spans="1:5" x14ac:dyDescent="0.25">
      <c r="A44" s="90" t="s">
        <v>55</v>
      </c>
      <c r="B44" s="91"/>
      <c r="C44" s="91"/>
      <c r="D44" s="91"/>
      <c r="E44" s="91"/>
    </row>
    <row r="45" spans="1:5" x14ac:dyDescent="0.25">
      <c r="A45" s="92" t="s">
        <v>56</v>
      </c>
      <c r="B45" s="93"/>
      <c r="C45" s="93"/>
      <c r="D45" s="93"/>
      <c r="E45" s="93"/>
    </row>
  </sheetData>
  <mergeCells count="21">
    <mergeCell ref="A1:E1"/>
    <mergeCell ref="A2:E2"/>
    <mergeCell ref="C4:E4"/>
    <mergeCell ref="A5:A6"/>
    <mergeCell ref="B5:B6"/>
    <mergeCell ref="C25:E25"/>
    <mergeCell ref="A7:E7"/>
    <mergeCell ref="C8:E8"/>
    <mergeCell ref="A13:E13"/>
    <mergeCell ref="C14:E14"/>
    <mergeCell ref="A18:E18"/>
    <mergeCell ref="C19:E19"/>
    <mergeCell ref="A21:E21"/>
    <mergeCell ref="C22:E22"/>
    <mergeCell ref="A24:E24"/>
    <mergeCell ref="A43:E43"/>
    <mergeCell ref="A44:E44"/>
    <mergeCell ref="A45:E45"/>
    <mergeCell ref="C26:E26"/>
    <mergeCell ref="A42:E42"/>
    <mergeCell ref="C39:E39"/>
  </mergeCells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Normal="100" workbookViewId="0">
      <selection activeCell="A2" sqref="A2:XFD2"/>
    </sheetView>
  </sheetViews>
  <sheetFormatPr defaultRowHeight="15" x14ac:dyDescent="0.25"/>
  <cols>
    <col min="2" max="2" width="14.140625" customWidth="1"/>
    <col min="3" max="3" width="53.140625" customWidth="1"/>
    <col min="5" max="5" width="11.28515625" customWidth="1"/>
  </cols>
  <sheetData>
    <row r="1" spans="1:5" ht="71.25" customHeight="1" x14ac:dyDescent="0.25">
      <c r="A1" s="94" t="s">
        <v>173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3560/1000</f>
        <v>3.56</v>
      </c>
    </row>
    <row r="7" spans="1:5" x14ac:dyDescent="0.25">
      <c r="A7" s="87" t="s">
        <v>17</v>
      </c>
      <c r="B7" s="87"/>
      <c r="C7" s="87"/>
      <c r="D7" s="87"/>
      <c r="E7" s="87"/>
    </row>
    <row r="8" spans="1:5" x14ac:dyDescent="0.25">
      <c r="A8" s="2" t="s">
        <v>18</v>
      </c>
      <c r="B8" s="2"/>
      <c r="C8" s="87" t="s">
        <v>19</v>
      </c>
      <c r="D8" s="87"/>
      <c r="E8" s="87"/>
    </row>
    <row r="9" spans="1:5" x14ac:dyDescent="0.25">
      <c r="A9" s="66"/>
      <c r="B9" s="66" t="s">
        <v>20</v>
      </c>
      <c r="C9" s="3" t="s">
        <v>60</v>
      </c>
      <c r="D9" s="66"/>
      <c r="E9" s="7"/>
    </row>
    <row r="10" spans="1:5" ht="30" x14ac:dyDescent="0.25">
      <c r="A10" s="66" t="s">
        <v>157</v>
      </c>
      <c r="B10" s="66"/>
      <c r="C10" s="8" t="s">
        <v>61</v>
      </c>
      <c r="D10" s="66" t="s">
        <v>62</v>
      </c>
      <c r="E10" s="5">
        <v>1196.7</v>
      </c>
    </row>
    <row r="11" spans="1:5" x14ac:dyDescent="0.25">
      <c r="A11" s="66"/>
      <c r="B11" s="66" t="s">
        <v>22</v>
      </c>
      <c r="C11" s="3" t="s">
        <v>63</v>
      </c>
      <c r="D11" s="66"/>
      <c r="E11" s="5"/>
    </row>
    <row r="12" spans="1:5" ht="30" x14ac:dyDescent="0.25">
      <c r="A12" s="66" t="s">
        <v>18</v>
      </c>
      <c r="B12" s="66"/>
      <c r="C12" s="8" t="s">
        <v>64</v>
      </c>
      <c r="D12" s="37" t="s">
        <v>62</v>
      </c>
      <c r="E12" s="5">
        <v>84.6</v>
      </c>
    </row>
    <row r="13" spans="1:5" x14ac:dyDescent="0.25">
      <c r="A13" s="87" t="s">
        <v>23</v>
      </c>
      <c r="B13" s="87"/>
      <c r="C13" s="87"/>
      <c r="D13" s="87"/>
      <c r="E13" s="87"/>
    </row>
    <row r="14" spans="1:5" x14ac:dyDescent="0.25">
      <c r="A14" s="2" t="s">
        <v>27</v>
      </c>
      <c r="B14" s="2"/>
      <c r="C14" s="87" t="s">
        <v>28</v>
      </c>
      <c r="D14" s="87"/>
      <c r="E14" s="87"/>
    </row>
    <row r="15" spans="1:5" ht="30" x14ac:dyDescent="0.25">
      <c r="A15" s="66" t="s">
        <v>157</v>
      </c>
      <c r="B15" s="66" t="s">
        <v>65</v>
      </c>
      <c r="C15" s="8" t="s">
        <v>67</v>
      </c>
      <c r="D15" s="5" t="s">
        <v>66</v>
      </c>
      <c r="E15" s="32">
        <f>E22</f>
        <v>7120</v>
      </c>
    </row>
    <row r="16" spans="1:5" ht="30" x14ac:dyDescent="0.25">
      <c r="A16" s="66" t="s">
        <v>24</v>
      </c>
      <c r="B16" s="66" t="s">
        <v>65</v>
      </c>
      <c r="C16" s="8" t="s">
        <v>69</v>
      </c>
      <c r="D16" s="5" t="s">
        <v>66</v>
      </c>
      <c r="E16" s="32">
        <f>E22</f>
        <v>7120</v>
      </c>
    </row>
    <row r="17" spans="1:5" ht="30" x14ac:dyDescent="0.25">
      <c r="A17" s="66" t="s">
        <v>27</v>
      </c>
      <c r="B17" s="66" t="s">
        <v>29</v>
      </c>
      <c r="C17" s="3" t="s">
        <v>319</v>
      </c>
      <c r="D17" s="66" t="s">
        <v>13</v>
      </c>
      <c r="E17" s="32">
        <f>E22</f>
        <v>7120</v>
      </c>
    </row>
    <row r="18" spans="1:5" ht="30" x14ac:dyDescent="0.25">
      <c r="A18" s="66" t="s">
        <v>31</v>
      </c>
      <c r="B18" s="66" t="s">
        <v>324</v>
      </c>
      <c r="C18" s="3" t="s">
        <v>74</v>
      </c>
      <c r="D18" s="66" t="s">
        <v>13</v>
      </c>
      <c r="E18" s="32">
        <f>E22</f>
        <v>7120</v>
      </c>
    </row>
    <row r="19" spans="1:5" ht="30" x14ac:dyDescent="0.25">
      <c r="A19" s="66" t="s">
        <v>35</v>
      </c>
      <c r="B19" s="66" t="s">
        <v>316</v>
      </c>
      <c r="C19" s="3" t="s">
        <v>164</v>
      </c>
      <c r="D19" s="66" t="s">
        <v>13</v>
      </c>
      <c r="E19" s="32">
        <f>E22</f>
        <v>7120</v>
      </c>
    </row>
    <row r="20" spans="1:5" x14ac:dyDescent="0.25">
      <c r="A20" s="87" t="s">
        <v>30</v>
      </c>
      <c r="B20" s="87"/>
      <c r="C20" s="87"/>
      <c r="D20" s="87"/>
      <c r="E20" s="87"/>
    </row>
    <row r="21" spans="1:5" x14ac:dyDescent="0.25">
      <c r="A21" s="2" t="s">
        <v>31</v>
      </c>
      <c r="B21" s="2"/>
      <c r="C21" s="87" t="s">
        <v>32</v>
      </c>
      <c r="D21" s="87"/>
      <c r="E21" s="87"/>
    </row>
    <row r="22" spans="1:5" ht="45" x14ac:dyDescent="0.25">
      <c r="A22" s="66" t="s">
        <v>157</v>
      </c>
      <c r="B22" s="66" t="s">
        <v>325</v>
      </c>
      <c r="C22" s="3" t="s">
        <v>133</v>
      </c>
      <c r="D22" s="66" t="s">
        <v>13</v>
      </c>
      <c r="E22" s="5">
        <f>E6*1000*2</f>
        <v>7120</v>
      </c>
    </row>
    <row r="23" spans="1:5" ht="30" x14ac:dyDescent="0.25">
      <c r="A23" s="66" t="s">
        <v>18</v>
      </c>
      <c r="B23" s="66" t="s">
        <v>325</v>
      </c>
      <c r="C23" s="3" t="s">
        <v>73</v>
      </c>
      <c r="D23" s="66" t="s">
        <v>51</v>
      </c>
      <c r="E23" s="5">
        <f>(E22*0.05)*1.03</f>
        <v>366.68</v>
      </c>
    </row>
    <row r="24" spans="1:5" x14ac:dyDescent="0.25">
      <c r="A24" s="87" t="s">
        <v>34</v>
      </c>
      <c r="B24" s="87"/>
      <c r="C24" s="87"/>
      <c r="D24" s="87"/>
      <c r="E24" s="87"/>
    </row>
    <row r="25" spans="1:5" x14ac:dyDescent="0.25">
      <c r="A25" s="2" t="s">
        <v>35</v>
      </c>
      <c r="B25" s="2"/>
      <c r="C25" s="87" t="s">
        <v>70</v>
      </c>
      <c r="D25" s="87"/>
      <c r="E25" s="87"/>
    </row>
    <row r="26" spans="1:5" ht="17.25" x14ac:dyDescent="0.25">
      <c r="A26" s="66" t="s">
        <v>157</v>
      </c>
      <c r="B26" s="66" t="s">
        <v>318</v>
      </c>
      <c r="C26" s="3" t="s">
        <v>71</v>
      </c>
      <c r="D26" s="66" t="s">
        <v>13</v>
      </c>
      <c r="E26" s="5">
        <f>E22</f>
        <v>7120</v>
      </c>
    </row>
    <row r="27" spans="1:5" ht="17.25" x14ac:dyDescent="0.25">
      <c r="A27" s="66" t="s">
        <v>18</v>
      </c>
      <c r="B27" s="66" t="s">
        <v>151</v>
      </c>
      <c r="C27" s="3" t="s">
        <v>152</v>
      </c>
      <c r="D27" s="66" t="s">
        <v>13</v>
      </c>
      <c r="E27" s="32">
        <f>0.5*2*(E6)*1000</f>
        <v>3560</v>
      </c>
    </row>
    <row r="28" spans="1:5" x14ac:dyDescent="0.25">
      <c r="A28" s="87" t="s">
        <v>72</v>
      </c>
      <c r="B28" s="87"/>
      <c r="C28" s="87"/>
      <c r="D28" s="87"/>
      <c r="E28" s="87"/>
    </row>
    <row r="29" spans="1:5" x14ac:dyDescent="0.25">
      <c r="A29" s="2" t="s">
        <v>42</v>
      </c>
      <c r="B29" s="2"/>
      <c r="C29" s="87" t="s">
        <v>36</v>
      </c>
      <c r="D29" s="87"/>
      <c r="E29" s="87"/>
    </row>
    <row r="30" spans="1:5" x14ac:dyDescent="0.25">
      <c r="A30" s="2"/>
      <c r="B30" s="2"/>
      <c r="C30" s="87" t="s">
        <v>39</v>
      </c>
      <c r="D30" s="87"/>
      <c r="E30" s="87"/>
    </row>
    <row r="31" spans="1:5" x14ac:dyDescent="0.25">
      <c r="A31" s="66"/>
      <c r="B31" s="66" t="s">
        <v>40</v>
      </c>
      <c r="C31" s="35" t="s">
        <v>163</v>
      </c>
      <c r="D31" s="62"/>
      <c r="E31" s="5"/>
    </row>
    <row r="32" spans="1:5" x14ac:dyDescent="0.25">
      <c r="A32" s="66" t="s">
        <v>157</v>
      </c>
      <c r="B32" s="64"/>
      <c r="C32" s="35" t="s">
        <v>219</v>
      </c>
      <c r="D32" s="66" t="s">
        <v>12</v>
      </c>
      <c r="E32" s="66" t="s">
        <v>157</v>
      </c>
    </row>
    <row r="33" spans="1:5" x14ac:dyDescent="0.25">
      <c r="A33" s="66" t="s">
        <v>18</v>
      </c>
      <c r="B33" s="64"/>
      <c r="C33" s="35" t="s">
        <v>220</v>
      </c>
      <c r="D33" s="66" t="s">
        <v>12</v>
      </c>
      <c r="E33" s="66" t="s">
        <v>157</v>
      </c>
    </row>
    <row r="34" spans="1:5" x14ac:dyDescent="0.25">
      <c r="A34" s="66" t="s">
        <v>24</v>
      </c>
      <c r="B34" s="64"/>
      <c r="C34" s="35" t="s">
        <v>218</v>
      </c>
      <c r="D34" s="66" t="s">
        <v>12</v>
      </c>
      <c r="E34" s="66" t="s">
        <v>157</v>
      </c>
    </row>
    <row r="35" spans="1:5" x14ac:dyDescent="0.25">
      <c r="A35" s="66" t="s">
        <v>27</v>
      </c>
      <c r="B35" s="64"/>
      <c r="C35" s="35" t="s">
        <v>222</v>
      </c>
      <c r="D35" s="66" t="s">
        <v>12</v>
      </c>
      <c r="E35" s="66" t="s">
        <v>31</v>
      </c>
    </row>
    <row r="36" spans="1:5" x14ac:dyDescent="0.25">
      <c r="A36" s="66" t="s">
        <v>31</v>
      </c>
      <c r="B36" s="64"/>
      <c r="C36" s="35" t="s">
        <v>205</v>
      </c>
      <c r="D36" s="66" t="s">
        <v>12</v>
      </c>
      <c r="E36" s="66" t="s">
        <v>31</v>
      </c>
    </row>
    <row r="37" spans="1:5" x14ac:dyDescent="0.25">
      <c r="A37" s="66" t="s">
        <v>35</v>
      </c>
      <c r="B37" s="64"/>
      <c r="C37" s="35" t="s">
        <v>202</v>
      </c>
      <c r="D37" s="66" t="s">
        <v>12</v>
      </c>
      <c r="E37" s="66" t="s">
        <v>157</v>
      </c>
    </row>
    <row r="38" spans="1:5" x14ac:dyDescent="0.25">
      <c r="A38" s="66" t="s">
        <v>42</v>
      </c>
      <c r="B38" s="64"/>
      <c r="C38" s="35" t="s">
        <v>204</v>
      </c>
      <c r="D38" s="66" t="s">
        <v>12</v>
      </c>
      <c r="E38" s="66" t="s">
        <v>157</v>
      </c>
    </row>
    <row r="39" spans="1:5" x14ac:dyDescent="0.25">
      <c r="A39" s="66" t="s">
        <v>47</v>
      </c>
      <c r="B39" s="64"/>
      <c r="C39" s="35" t="s">
        <v>206</v>
      </c>
      <c r="D39" s="66" t="s">
        <v>12</v>
      </c>
      <c r="E39" s="66" t="s">
        <v>35</v>
      </c>
    </row>
    <row r="40" spans="1:5" x14ac:dyDescent="0.25">
      <c r="A40" s="66" t="s">
        <v>160</v>
      </c>
      <c r="B40" s="64"/>
      <c r="C40" s="35" t="s">
        <v>203</v>
      </c>
      <c r="D40" s="66" t="s">
        <v>12</v>
      </c>
      <c r="E40" s="66" t="s">
        <v>18</v>
      </c>
    </row>
    <row r="41" spans="1:5" x14ac:dyDescent="0.25">
      <c r="A41" s="66" t="s">
        <v>52</v>
      </c>
      <c r="B41" s="64"/>
      <c r="C41" s="35" t="s">
        <v>217</v>
      </c>
      <c r="D41" s="66" t="s">
        <v>12</v>
      </c>
      <c r="E41" s="66" t="s">
        <v>18</v>
      </c>
    </row>
    <row r="42" spans="1:5" x14ac:dyDescent="0.25">
      <c r="A42" s="66" t="s">
        <v>154</v>
      </c>
      <c r="B42" s="64"/>
      <c r="C42" s="34" t="s">
        <v>216</v>
      </c>
      <c r="D42" s="66" t="s">
        <v>12</v>
      </c>
      <c r="E42" s="66" t="s">
        <v>157</v>
      </c>
    </row>
    <row r="43" spans="1:5" x14ac:dyDescent="0.25">
      <c r="A43" s="66" t="s">
        <v>161</v>
      </c>
      <c r="B43" s="64"/>
      <c r="C43" s="35" t="s">
        <v>199</v>
      </c>
      <c r="D43" s="66" t="s">
        <v>12</v>
      </c>
      <c r="E43" s="66" t="s">
        <v>18</v>
      </c>
    </row>
    <row r="44" spans="1:5" x14ac:dyDescent="0.25">
      <c r="A44" s="66" t="s">
        <v>162</v>
      </c>
      <c r="B44" s="64"/>
      <c r="C44" s="35" t="s">
        <v>212</v>
      </c>
      <c r="D44" s="66" t="s">
        <v>12</v>
      </c>
      <c r="E44" s="66" t="s">
        <v>162</v>
      </c>
    </row>
    <row r="45" spans="1:5" x14ac:dyDescent="0.25">
      <c r="A45" s="66"/>
      <c r="B45" s="2"/>
      <c r="C45" s="87" t="s">
        <v>37</v>
      </c>
      <c r="D45" s="87"/>
      <c r="E45" s="87"/>
    </row>
    <row r="46" spans="1:5" x14ac:dyDescent="0.25">
      <c r="A46" s="66"/>
      <c r="B46" s="66" t="s">
        <v>38</v>
      </c>
      <c r="C46" s="35" t="s">
        <v>163</v>
      </c>
      <c r="D46" s="62"/>
      <c r="E46" s="5"/>
    </row>
    <row r="47" spans="1:5" x14ac:dyDescent="0.25">
      <c r="A47" s="66" t="s">
        <v>157</v>
      </c>
      <c r="B47" s="64"/>
      <c r="C47" s="35" t="s">
        <v>221</v>
      </c>
      <c r="D47" s="66" t="s">
        <v>12</v>
      </c>
      <c r="E47" s="66" t="s">
        <v>18</v>
      </c>
    </row>
    <row r="48" spans="1:5" x14ac:dyDescent="0.25">
      <c r="A48" s="87" t="s">
        <v>41</v>
      </c>
      <c r="B48" s="87"/>
      <c r="C48" s="87"/>
      <c r="D48" s="87"/>
      <c r="E48" s="87"/>
    </row>
    <row r="49" spans="1:5" x14ac:dyDescent="0.25">
      <c r="A49" s="2" t="s">
        <v>47</v>
      </c>
      <c r="B49" s="2"/>
      <c r="C49" s="87" t="s">
        <v>43</v>
      </c>
      <c r="D49" s="87"/>
      <c r="E49" s="87"/>
    </row>
    <row r="50" spans="1:5" ht="30" x14ac:dyDescent="0.25">
      <c r="A50" s="66" t="s">
        <v>27</v>
      </c>
      <c r="B50" s="66" t="s">
        <v>44</v>
      </c>
      <c r="C50" s="3" t="s">
        <v>45</v>
      </c>
      <c r="D50" s="66" t="s">
        <v>15</v>
      </c>
      <c r="E50" s="32">
        <f>E6*1000*2</f>
        <v>7120</v>
      </c>
    </row>
    <row r="51" spans="1:5" x14ac:dyDescent="0.25">
      <c r="A51" s="87" t="s">
        <v>46</v>
      </c>
      <c r="B51" s="87"/>
      <c r="C51" s="87"/>
      <c r="D51" s="87"/>
      <c r="E51" s="87"/>
    </row>
    <row r="52" spans="1:5" x14ac:dyDescent="0.25">
      <c r="A52" s="2" t="s">
        <v>165</v>
      </c>
      <c r="B52" s="2"/>
      <c r="C52" s="87" t="s">
        <v>167</v>
      </c>
      <c r="D52" s="87"/>
      <c r="E52" s="87"/>
    </row>
    <row r="53" spans="1:5" x14ac:dyDescent="0.25">
      <c r="A53" s="66" t="s">
        <v>157</v>
      </c>
      <c r="B53" s="66" t="s">
        <v>322</v>
      </c>
      <c r="C53" s="35" t="s">
        <v>142</v>
      </c>
      <c r="D53" s="66" t="s">
        <v>12</v>
      </c>
      <c r="E53" s="7">
        <v>1</v>
      </c>
    </row>
    <row r="54" spans="1:5" x14ac:dyDescent="0.25">
      <c r="A54" s="66" t="s">
        <v>18</v>
      </c>
      <c r="B54" s="66" t="s">
        <v>322</v>
      </c>
      <c r="C54" s="35" t="s">
        <v>135</v>
      </c>
      <c r="D54" s="66" t="s">
        <v>12</v>
      </c>
      <c r="E54" s="7">
        <v>1</v>
      </c>
    </row>
    <row r="55" spans="1:5" x14ac:dyDescent="0.25">
      <c r="A55" s="66" t="s">
        <v>24</v>
      </c>
      <c r="B55" s="66" t="s">
        <v>322</v>
      </c>
      <c r="C55" s="35" t="s">
        <v>136</v>
      </c>
      <c r="D55" s="66" t="s">
        <v>12</v>
      </c>
      <c r="E55" s="7">
        <v>2</v>
      </c>
    </row>
    <row r="56" spans="1:5" x14ac:dyDescent="0.25">
      <c r="A56" s="66" t="s">
        <v>27</v>
      </c>
      <c r="B56" s="66" t="s">
        <v>322</v>
      </c>
      <c r="C56" s="35" t="s">
        <v>137</v>
      </c>
      <c r="D56" s="66" t="s">
        <v>12</v>
      </c>
      <c r="E56" s="7">
        <v>4</v>
      </c>
    </row>
    <row r="57" spans="1:5" x14ac:dyDescent="0.25">
      <c r="A57" s="66" t="s">
        <v>31</v>
      </c>
      <c r="B57" s="66" t="s">
        <v>323</v>
      </c>
      <c r="C57" s="35" t="s">
        <v>141</v>
      </c>
      <c r="D57" s="66" t="s">
        <v>12</v>
      </c>
      <c r="E57" s="7">
        <v>1</v>
      </c>
    </row>
    <row r="58" spans="1:5" ht="17.25" x14ac:dyDescent="0.25">
      <c r="A58" s="66" t="s">
        <v>35</v>
      </c>
      <c r="B58" s="66" t="s">
        <v>322</v>
      </c>
      <c r="C58" s="35" t="s">
        <v>140</v>
      </c>
      <c r="D58" s="66" t="s">
        <v>13</v>
      </c>
      <c r="E58" s="7">
        <f>(1.5*6+1.5*(2.5+4)+(2.5+5)*(1.5+3))</f>
        <v>52.5</v>
      </c>
    </row>
    <row r="59" spans="1:5" ht="17.25" x14ac:dyDescent="0.25">
      <c r="A59" s="66" t="s">
        <v>42</v>
      </c>
      <c r="B59" s="66" t="s">
        <v>322</v>
      </c>
      <c r="C59" s="35" t="s">
        <v>138</v>
      </c>
      <c r="D59" s="66" t="s">
        <v>13</v>
      </c>
      <c r="E59" s="7">
        <f>((3+1.5)*(2.5+4)+(2.5+5)*1.5+1.5*6)</f>
        <v>49.5</v>
      </c>
    </row>
    <row r="60" spans="1:5" ht="17.25" x14ac:dyDescent="0.25">
      <c r="A60" s="66" t="s">
        <v>47</v>
      </c>
      <c r="B60" s="66" t="s">
        <v>322</v>
      </c>
      <c r="C60" s="35" t="s">
        <v>139</v>
      </c>
      <c r="D60" s="66" t="s">
        <v>13</v>
      </c>
      <c r="E60" s="7">
        <f>(6*6.85)</f>
        <v>41.099999999999994</v>
      </c>
    </row>
    <row r="61" spans="1:5" x14ac:dyDescent="0.25">
      <c r="A61" s="87" t="s">
        <v>53</v>
      </c>
      <c r="B61" s="87"/>
      <c r="C61" s="87"/>
      <c r="D61" s="87"/>
      <c r="E61" s="87"/>
    </row>
    <row r="62" spans="1:5" x14ac:dyDescent="0.25">
      <c r="A62" s="88" t="s">
        <v>54</v>
      </c>
      <c r="B62" s="89"/>
      <c r="C62" s="89"/>
      <c r="D62" s="89"/>
      <c r="E62" s="89"/>
    </row>
    <row r="63" spans="1:5" x14ac:dyDescent="0.25">
      <c r="A63" s="90" t="s">
        <v>55</v>
      </c>
      <c r="B63" s="91"/>
      <c r="C63" s="91"/>
      <c r="D63" s="91"/>
      <c r="E63" s="91"/>
    </row>
    <row r="64" spans="1:5" x14ac:dyDescent="0.25">
      <c r="A64" s="92" t="s">
        <v>56</v>
      </c>
      <c r="B64" s="93"/>
      <c r="C64" s="93"/>
      <c r="D64" s="93"/>
      <c r="E64" s="93"/>
    </row>
  </sheetData>
  <mergeCells count="25">
    <mergeCell ref="A1:E1"/>
    <mergeCell ref="A2:E2"/>
    <mergeCell ref="C4:E4"/>
    <mergeCell ref="A5:A6"/>
    <mergeCell ref="B5:B6"/>
    <mergeCell ref="C29:E29"/>
    <mergeCell ref="A7:E7"/>
    <mergeCell ref="C8:E8"/>
    <mergeCell ref="A13:E13"/>
    <mergeCell ref="C14:E14"/>
    <mergeCell ref="A20:E20"/>
    <mergeCell ref="C21:E21"/>
    <mergeCell ref="A24:E24"/>
    <mergeCell ref="C25:E25"/>
    <mergeCell ref="A28:E28"/>
    <mergeCell ref="A63:E63"/>
    <mergeCell ref="A64:E64"/>
    <mergeCell ref="C52:E52"/>
    <mergeCell ref="A61:E61"/>
    <mergeCell ref="C30:E30"/>
    <mergeCell ref="A48:E48"/>
    <mergeCell ref="C49:E49"/>
    <mergeCell ref="A51:E51"/>
    <mergeCell ref="A62:E62"/>
    <mergeCell ref="C45:E45"/>
  </mergeCells>
  <pageMargins left="0.7" right="0.7" top="0.75" bottom="0.75" header="0.3" footer="0.3"/>
  <pageSetup paperSize="9" scale="73" orientation="portrait" r:id="rId1"/>
  <rowBreaks count="1" manualBreakCount="1">
    <brk id="5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:XFD2"/>
    </sheetView>
  </sheetViews>
  <sheetFormatPr defaultRowHeight="15" x14ac:dyDescent="0.25"/>
  <cols>
    <col min="2" max="2" width="12" customWidth="1"/>
    <col min="3" max="3" width="40.7109375" customWidth="1"/>
    <col min="7" max="7" width="13.5703125" customWidth="1"/>
  </cols>
  <sheetData>
    <row r="1" spans="1:7" ht="63.75" customHeight="1" x14ac:dyDescent="0.25">
      <c r="A1" s="94" t="s">
        <v>174</v>
      </c>
      <c r="B1" s="94"/>
      <c r="C1" s="94"/>
      <c r="D1" s="94"/>
      <c r="E1" s="94"/>
      <c r="F1" s="94"/>
      <c r="G1" s="94"/>
    </row>
    <row r="2" spans="1:7" x14ac:dyDescent="0.25">
      <c r="A2" s="95" t="s">
        <v>0</v>
      </c>
      <c r="B2" s="95"/>
      <c r="C2" s="95"/>
      <c r="D2" s="95"/>
      <c r="E2" s="95"/>
      <c r="F2" s="95"/>
      <c r="G2" s="95"/>
    </row>
    <row r="3" spans="1:7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2">
        <v>1</v>
      </c>
      <c r="B4" s="2"/>
      <c r="C4" s="87" t="s">
        <v>8</v>
      </c>
      <c r="D4" s="87"/>
      <c r="E4" s="87"/>
      <c r="F4" s="87"/>
      <c r="G4" s="87"/>
    </row>
    <row r="5" spans="1:7" ht="30" x14ac:dyDescent="0.25">
      <c r="A5" s="96">
        <v>1</v>
      </c>
      <c r="B5" s="97" t="s">
        <v>9</v>
      </c>
      <c r="C5" s="3" t="s">
        <v>57</v>
      </c>
      <c r="D5" s="34"/>
      <c r="E5" s="34"/>
      <c r="F5" s="34"/>
      <c r="G5" s="34"/>
    </row>
    <row r="6" spans="1:7" x14ac:dyDescent="0.25">
      <c r="A6" s="96"/>
      <c r="B6" s="97"/>
      <c r="C6" s="8" t="s">
        <v>184</v>
      </c>
      <c r="D6" s="36" t="s">
        <v>10</v>
      </c>
      <c r="E6" s="4">
        <v>0</v>
      </c>
      <c r="F6" s="5">
        <v>1559.83</v>
      </c>
      <c r="G6" s="32">
        <f>E6*F6</f>
        <v>0</v>
      </c>
    </row>
    <row r="7" spans="1:7" x14ac:dyDescent="0.25">
      <c r="A7" s="88" t="s">
        <v>54</v>
      </c>
      <c r="B7" s="89"/>
      <c r="C7" s="89"/>
      <c r="D7" s="89"/>
      <c r="E7" s="89"/>
      <c r="F7" s="100"/>
      <c r="G7" s="31">
        <f>G6</f>
        <v>0</v>
      </c>
    </row>
    <row r="8" spans="1:7" x14ac:dyDescent="0.25">
      <c r="A8" s="90" t="s">
        <v>55</v>
      </c>
      <c r="B8" s="91"/>
      <c r="C8" s="91"/>
      <c r="D8" s="91"/>
      <c r="E8" s="91"/>
      <c r="F8" s="101"/>
      <c r="G8" s="31">
        <f>0.23*G7</f>
        <v>0</v>
      </c>
    </row>
    <row r="9" spans="1:7" x14ac:dyDescent="0.25">
      <c r="A9" s="92" t="s">
        <v>56</v>
      </c>
      <c r="B9" s="93"/>
      <c r="C9" s="93"/>
      <c r="D9" s="93"/>
      <c r="E9" s="93"/>
      <c r="F9" s="102"/>
      <c r="G9" s="31">
        <f>G8+G7</f>
        <v>0</v>
      </c>
    </row>
  </sheetData>
  <mergeCells count="8">
    <mergeCell ref="A7:F7"/>
    <mergeCell ref="A8:F8"/>
    <mergeCell ref="A9:F9"/>
    <mergeCell ref="A1:G1"/>
    <mergeCell ref="A2:G2"/>
    <mergeCell ref="C4:G4"/>
    <mergeCell ref="A5:A6"/>
    <mergeCell ref="B5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00" workbookViewId="0">
      <selection activeCell="A2" sqref="A2:XFD2"/>
    </sheetView>
  </sheetViews>
  <sheetFormatPr defaultRowHeight="15" x14ac:dyDescent="0.25"/>
  <cols>
    <col min="2" max="2" width="11.85546875" customWidth="1"/>
    <col min="3" max="3" width="50.5703125" customWidth="1"/>
  </cols>
  <sheetData>
    <row r="1" spans="1:5" ht="74.25" customHeight="1" x14ac:dyDescent="0.25">
      <c r="A1" s="94" t="s">
        <v>175</v>
      </c>
      <c r="B1" s="94"/>
      <c r="C1" s="94"/>
      <c r="D1" s="94"/>
      <c r="E1" s="94"/>
    </row>
    <row r="2" spans="1:5" x14ac:dyDescent="0.25">
      <c r="A2" s="95" t="s">
        <v>0</v>
      </c>
      <c r="B2" s="95"/>
      <c r="C2" s="95"/>
      <c r="D2" s="95"/>
      <c r="E2" s="95"/>
    </row>
    <row r="3" spans="1:5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2">
        <v>1</v>
      </c>
      <c r="B4" s="2"/>
      <c r="C4" s="87" t="s">
        <v>8</v>
      </c>
      <c r="D4" s="87"/>
      <c r="E4" s="87"/>
    </row>
    <row r="5" spans="1:5" x14ac:dyDescent="0.25">
      <c r="A5" s="96">
        <v>1</v>
      </c>
      <c r="B5" s="97" t="s">
        <v>9</v>
      </c>
      <c r="C5" s="3" t="s">
        <v>57</v>
      </c>
      <c r="D5" s="34"/>
      <c r="E5" s="34"/>
    </row>
    <row r="6" spans="1:5" x14ac:dyDescent="0.25">
      <c r="A6" s="96"/>
      <c r="B6" s="97"/>
      <c r="C6" s="8" t="s">
        <v>184</v>
      </c>
      <c r="D6" s="66" t="s">
        <v>10</v>
      </c>
      <c r="E6" s="4">
        <f>214/1000</f>
        <v>0.214</v>
      </c>
    </row>
    <row r="7" spans="1:5" x14ac:dyDescent="0.25">
      <c r="A7" s="87" t="s">
        <v>17</v>
      </c>
      <c r="B7" s="87"/>
      <c r="C7" s="87"/>
      <c r="D7" s="87"/>
      <c r="E7" s="87"/>
    </row>
    <row r="8" spans="1:5" x14ac:dyDescent="0.25">
      <c r="A8" s="2" t="s">
        <v>18</v>
      </c>
      <c r="B8" s="2"/>
      <c r="C8" s="87" t="s">
        <v>19</v>
      </c>
      <c r="D8" s="87"/>
      <c r="E8" s="87"/>
    </row>
    <row r="9" spans="1:5" x14ac:dyDescent="0.25">
      <c r="A9" s="66"/>
      <c r="B9" s="66" t="s">
        <v>20</v>
      </c>
      <c r="C9" s="3" t="s">
        <v>60</v>
      </c>
      <c r="D9" s="66"/>
      <c r="E9" s="7"/>
    </row>
    <row r="10" spans="1:5" ht="30" x14ac:dyDescent="0.25">
      <c r="A10" s="66" t="s">
        <v>157</v>
      </c>
      <c r="B10" s="66"/>
      <c r="C10" s="8" t="s">
        <v>61</v>
      </c>
      <c r="D10" s="66" t="s">
        <v>62</v>
      </c>
      <c r="E10" s="5">
        <v>25.9</v>
      </c>
    </row>
    <row r="11" spans="1:5" x14ac:dyDescent="0.25">
      <c r="A11" s="66"/>
      <c r="B11" s="66" t="s">
        <v>22</v>
      </c>
      <c r="C11" s="3" t="s">
        <v>63</v>
      </c>
      <c r="D11" s="66"/>
      <c r="E11" s="5"/>
    </row>
    <row r="12" spans="1:5" ht="30" x14ac:dyDescent="0.25">
      <c r="A12" s="66" t="s">
        <v>18</v>
      </c>
      <c r="B12" s="66"/>
      <c r="C12" s="8" t="s">
        <v>64</v>
      </c>
      <c r="D12" s="66" t="s">
        <v>62</v>
      </c>
      <c r="E12" s="5">
        <v>2</v>
      </c>
    </row>
    <row r="13" spans="1:5" x14ac:dyDescent="0.25">
      <c r="A13" s="87" t="s">
        <v>23</v>
      </c>
      <c r="B13" s="87"/>
      <c r="C13" s="87"/>
      <c r="D13" s="87"/>
      <c r="E13" s="87"/>
    </row>
    <row r="14" spans="1:5" x14ac:dyDescent="0.25">
      <c r="A14" s="2" t="s">
        <v>27</v>
      </c>
      <c r="B14" s="2"/>
      <c r="C14" s="87" t="s">
        <v>28</v>
      </c>
      <c r="D14" s="87"/>
      <c r="E14" s="87"/>
    </row>
    <row r="15" spans="1:5" ht="45" x14ac:dyDescent="0.25">
      <c r="A15" s="66" t="s">
        <v>157</v>
      </c>
      <c r="B15" s="66" t="s">
        <v>65</v>
      </c>
      <c r="C15" s="8" t="s">
        <v>67</v>
      </c>
      <c r="D15" s="5" t="s">
        <v>66</v>
      </c>
      <c r="E15" s="32">
        <f>E20</f>
        <v>214</v>
      </c>
    </row>
    <row r="16" spans="1:5" ht="45" x14ac:dyDescent="0.25">
      <c r="A16" s="66" t="s">
        <v>24</v>
      </c>
      <c r="B16" s="66" t="s">
        <v>65</v>
      </c>
      <c r="C16" s="8" t="s">
        <v>69</v>
      </c>
      <c r="D16" s="5" t="s">
        <v>66</v>
      </c>
      <c r="E16" s="32">
        <f>E20</f>
        <v>214</v>
      </c>
    </row>
    <row r="17" spans="1:5" ht="30" x14ac:dyDescent="0.25">
      <c r="A17" s="66" t="s">
        <v>27</v>
      </c>
      <c r="B17" s="66" t="s">
        <v>29</v>
      </c>
      <c r="C17" s="3" t="s">
        <v>319</v>
      </c>
      <c r="D17" s="66" t="s">
        <v>13</v>
      </c>
      <c r="E17" s="32">
        <f>E20</f>
        <v>214</v>
      </c>
    </row>
    <row r="18" spans="1:5" x14ac:dyDescent="0.25">
      <c r="A18" s="87" t="s">
        <v>18</v>
      </c>
      <c r="B18" s="87"/>
      <c r="C18" s="87"/>
      <c r="D18" s="87"/>
      <c r="E18" s="87"/>
    </row>
    <row r="19" spans="1:5" x14ac:dyDescent="0.25">
      <c r="A19" s="2" t="s">
        <v>31</v>
      </c>
      <c r="B19" s="2"/>
      <c r="C19" s="87" t="s">
        <v>32</v>
      </c>
      <c r="D19" s="87"/>
      <c r="E19" s="87"/>
    </row>
    <row r="20" spans="1:5" ht="45" x14ac:dyDescent="0.25">
      <c r="A20" s="66" t="s">
        <v>157</v>
      </c>
      <c r="B20" s="66" t="s">
        <v>316</v>
      </c>
      <c r="C20" s="8" t="s">
        <v>321</v>
      </c>
      <c r="D20" s="66" t="s">
        <v>13</v>
      </c>
      <c r="E20" s="5">
        <f>E6*1000*1</f>
        <v>214</v>
      </c>
    </row>
    <row r="21" spans="1:5" x14ac:dyDescent="0.25">
      <c r="A21" s="87" t="s">
        <v>34</v>
      </c>
      <c r="B21" s="87"/>
      <c r="C21" s="87"/>
      <c r="D21" s="87"/>
      <c r="E21" s="87"/>
    </row>
    <row r="22" spans="1:5" x14ac:dyDescent="0.25">
      <c r="A22" s="2" t="s">
        <v>35</v>
      </c>
      <c r="B22" s="2"/>
      <c r="C22" s="87" t="s">
        <v>70</v>
      </c>
      <c r="D22" s="87"/>
      <c r="E22" s="87"/>
    </row>
    <row r="23" spans="1:5" ht="17.25" x14ac:dyDescent="0.25">
      <c r="A23" s="66" t="s">
        <v>157</v>
      </c>
      <c r="B23" s="66" t="s">
        <v>318</v>
      </c>
      <c r="C23" s="3" t="s">
        <v>71</v>
      </c>
      <c r="D23" s="66" t="s">
        <v>13</v>
      </c>
      <c r="E23" s="5">
        <f>E20</f>
        <v>214</v>
      </c>
    </row>
    <row r="24" spans="1:5" x14ac:dyDescent="0.25">
      <c r="A24" s="87" t="s">
        <v>72</v>
      </c>
      <c r="B24" s="87"/>
      <c r="C24" s="87"/>
      <c r="D24" s="87"/>
      <c r="E24" s="87"/>
    </row>
    <row r="25" spans="1:5" x14ac:dyDescent="0.25">
      <c r="A25" s="2" t="s">
        <v>42</v>
      </c>
      <c r="B25" s="2"/>
      <c r="C25" s="87" t="s">
        <v>36</v>
      </c>
      <c r="D25" s="87"/>
      <c r="E25" s="87"/>
    </row>
    <row r="26" spans="1:5" x14ac:dyDescent="0.25">
      <c r="A26" s="2"/>
      <c r="B26" s="2"/>
      <c r="C26" s="87" t="s">
        <v>39</v>
      </c>
      <c r="D26" s="87"/>
      <c r="E26" s="87"/>
    </row>
    <row r="27" spans="1:5" x14ac:dyDescent="0.25">
      <c r="A27" s="66"/>
      <c r="B27" s="66" t="s">
        <v>40</v>
      </c>
      <c r="C27" s="35" t="s">
        <v>163</v>
      </c>
      <c r="D27" s="62"/>
      <c r="E27" s="5"/>
    </row>
    <row r="28" spans="1:5" x14ac:dyDescent="0.25">
      <c r="A28" s="66" t="s">
        <v>157</v>
      </c>
      <c r="B28" s="64"/>
      <c r="C28" s="35" t="s">
        <v>200</v>
      </c>
      <c r="D28" s="66" t="s">
        <v>12</v>
      </c>
      <c r="E28" s="66" t="s">
        <v>35</v>
      </c>
    </row>
    <row r="29" spans="1:5" x14ac:dyDescent="0.25">
      <c r="A29" s="66" t="s">
        <v>18</v>
      </c>
      <c r="B29" s="64"/>
      <c r="C29" s="35" t="s">
        <v>202</v>
      </c>
      <c r="D29" s="66" t="s">
        <v>12</v>
      </c>
      <c r="E29" s="66" t="s">
        <v>24</v>
      </c>
    </row>
    <row r="30" spans="1:5" x14ac:dyDescent="0.25">
      <c r="A30" s="66" t="s">
        <v>24</v>
      </c>
      <c r="B30" s="64"/>
      <c r="C30" s="35" t="s">
        <v>224</v>
      </c>
      <c r="D30" s="66" t="s">
        <v>12</v>
      </c>
      <c r="E30" s="66" t="s">
        <v>157</v>
      </c>
    </row>
    <row r="31" spans="1:5" x14ac:dyDescent="0.25">
      <c r="A31" s="66" t="s">
        <v>27</v>
      </c>
      <c r="B31" s="64"/>
      <c r="C31" s="35" t="s">
        <v>204</v>
      </c>
      <c r="D31" s="66" t="s">
        <v>12</v>
      </c>
      <c r="E31" s="66" t="s">
        <v>157</v>
      </c>
    </row>
    <row r="32" spans="1:5" x14ac:dyDescent="0.25">
      <c r="A32" s="66" t="s">
        <v>31</v>
      </c>
      <c r="B32" s="64"/>
      <c r="C32" s="35" t="s">
        <v>225</v>
      </c>
      <c r="D32" s="66" t="s">
        <v>12</v>
      </c>
      <c r="E32" s="66" t="s">
        <v>157</v>
      </c>
    </row>
    <row r="33" spans="1:5" x14ac:dyDescent="0.25">
      <c r="A33" s="66" t="s">
        <v>35</v>
      </c>
      <c r="B33" s="64"/>
      <c r="C33" s="35" t="s">
        <v>199</v>
      </c>
      <c r="D33" s="66" t="s">
        <v>12</v>
      </c>
      <c r="E33" s="66" t="s">
        <v>18</v>
      </c>
    </row>
    <row r="34" spans="1:5" x14ac:dyDescent="0.25">
      <c r="A34" s="66" t="s">
        <v>42</v>
      </c>
      <c r="B34" s="64"/>
      <c r="C34" s="35" t="s">
        <v>220</v>
      </c>
      <c r="D34" s="66" t="s">
        <v>12</v>
      </c>
      <c r="E34" s="66" t="s">
        <v>157</v>
      </c>
    </row>
    <row r="35" spans="1:5" x14ac:dyDescent="0.25">
      <c r="A35" s="66" t="s">
        <v>47</v>
      </c>
      <c r="B35" s="64"/>
      <c r="C35" s="34" t="s">
        <v>216</v>
      </c>
      <c r="D35" s="66" t="s">
        <v>12</v>
      </c>
      <c r="E35" s="66" t="s">
        <v>157</v>
      </c>
    </row>
    <row r="36" spans="1:5" x14ac:dyDescent="0.25">
      <c r="A36" s="66" t="s">
        <v>160</v>
      </c>
      <c r="B36" s="64"/>
      <c r="C36" s="35" t="s">
        <v>212</v>
      </c>
      <c r="D36" s="66" t="s">
        <v>12</v>
      </c>
      <c r="E36" s="66" t="s">
        <v>47</v>
      </c>
    </row>
    <row r="37" spans="1:5" x14ac:dyDescent="0.25">
      <c r="A37" s="66"/>
      <c r="B37" s="2"/>
      <c r="C37" s="98" t="s">
        <v>37</v>
      </c>
      <c r="D37" s="99"/>
      <c r="E37" s="99"/>
    </row>
    <row r="38" spans="1:5" x14ac:dyDescent="0.25">
      <c r="A38" s="66"/>
      <c r="B38" s="66" t="s">
        <v>38</v>
      </c>
      <c r="C38" s="35" t="s">
        <v>163</v>
      </c>
      <c r="D38" s="62"/>
      <c r="E38" s="5"/>
    </row>
    <row r="39" spans="1:5" x14ac:dyDescent="0.25">
      <c r="A39" s="66" t="s">
        <v>157</v>
      </c>
      <c r="B39" s="66"/>
      <c r="C39" s="35" t="s">
        <v>223</v>
      </c>
      <c r="D39" s="66" t="s">
        <v>12</v>
      </c>
      <c r="E39" s="66" t="s">
        <v>157</v>
      </c>
    </row>
    <row r="40" spans="1:5" x14ac:dyDescent="0.25">
      <c r="A40" s="66" t="s">
        <v>18</v>
      </c>
      <c r="B40" s="64"/>
      <c r="C40" s="35" t="s">
        <v>221</v>
      </c>
      <c r="D40" s="66" t="s">
        <v>12</v>
      </c>
      <c r="E40" s="66" t="s">
        <v>18</v>
      </c>
    </row>
    <row r="41" spans="1:5" x14ac:dyDescent="0.25">
      <c r="A41" s="66" t="s">
        <v>24</v>
      </c>
      <c r="B41" s="64"/>
      <c r="C41" s="35" t="s">
        <v>208</v>
      </c>
      <c r="D41" s="66" t="s">
        <v>12</v>
      </c>
      <c r="E41" s="66" t="s">
        <v>157</v>
      </c>
    </row>
    <row r="42" spans="1:5" x14ac:dyDescent="0.25">
      <c r="A42" s="87" t="s">
        <v>41</v>
      </c>
      <c r="B42" s="87"/>
      <c r="C42" s="87"/>
      <c r="D42" s="87"/>
      <c r="E42" s="87"/>
    </row>
    <row r="43" spans="1:5" x14ac:dyDescent="0.25">
      <c r="A43" s="88" t="s">
        <v>54</v>
      </c>
      <c r="B43" s="89"/>
      <c r="C43" s="89"/>
      <c r="D43" s="89"/>
      <c r="E43" s="89"/>
    </row>
    <row r="44" spans="1:5" x14ac:dyDescent="0.25">
      <c r="A44" s="90" t="s">
        <v>55</v>
      </c>
      <c r="B44" s="91"/>
      <c r="C44" s="91"/>
      <c r="D44" s="91"/>
      <c r="E44" s="91"/>
    </row>
    <row r="45" spans="1:5" x14ac:dyDescent="0.25">
      <c r="A45" s="92" t="s">
        <v>56</v>
      </c>
      <c r="B45" s="93"/>
      <c r="C45" s="93"/>
      <c r="D45" s="93"/>
      <c r="E45" s="93"/>
    </row>
  </sheetData>
  <mergeCells count="21">
    <mergeCell ref="A1:E1"/>
    <mergeCell ref="A2:E2"/>
    <mergeCell ref="C4:E4"/>
    <mergeCell ref="A5:A6"/>
    <mergeCell ref="B5:B6"/>
    <mergeCell ref="A7:E7"/>
    <mergeCell ref="C8:E8"/>
    <mergeCell ref="A13:E13"/>
    <mergeCell ref="C14:E14"/>
    <mergeCell ref="A18:E18"/>
    <mergeCell ref="A44:E44"/>
    <mergeCell ref="A45:E45"/>
    <mergeCell ref="C19:E19"/>
    <mergeCell ref="A21:E21"/>
    <mergeCell ref="C22:E22"/>
    <mergeCell ref="A24:E24"/>
    <mergeCell ref="A43:E43"/>
    <mergeCell ref="C25:E25"/>
    <mergeCell ref="C26:E26"/>
    <mergeCell ref="C37:E37"/>
    <mergeCell ref="A42:E4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14</vt:i4>
      </vt:variant>
    </vt:vector>
  </HeadingPairs>
  <TitlesOfParts>
    <vt:vector size="31" baseType="lpstr">
      <vt:lpstr>wycinka</vt:lpstr>
      <vt:lpstr>32-33</vt:lpstr>
      <vt:lpstr>33-33a</vt:lpstr>
      <vt:lpstr>33a-34</vt:lpstr>
      <vt:lpstr>34-34a</vt:lpstr>
      <vt:lpstr>34a-35</vt:lpstr>
      <vt:lpstr>35-36a</vt:lpstr>
      <vt:lpstr>36a-36b</vt:lpstr>
      <vt:lpstr>36b-36c</vt:lpstr>
      <vt:lpstr>36c-37</vt:lpstr>
      <vt:lpstr>35i-35j</vt:lpstr>
      <vt:lpstr>35g</vt:lpstr>
      <vt:lpstr>35f-35fa</vt:lpstr>
      <vt:lpstr>35e-35d</vt:lpstr>
      <vt:lpstr>35d-35c</vt:lpstr>
      <vt:lpstr>35c-35b</vt:lpstr>
      <vt:lpstr>35a-35b</vt:lpstr>
      <vt:lpstr>'32-33'!Obszar_wydruku</vt:lpstr>
      <vt:lpstr>'33-33a'!Obszar_wydruku</vt:lpstr>
      <vt:lpstr>'33a-34'!Obszar_wydruku</vt:lpstr>
      <vt:lpstr>'34-34a'!Obszar_wydruku</vt:lpstr>
      <vt:lpstr>'34a-35'!Obszar_wydruku</vt:lpstr>
      <vt:lpstr>'35-36a'!Obszar_wydruku</vt:lpstr>
      <vt:lpstr>'35a-35b'!Obszar_wydruku</vt:lpstr>
      <vt:lpstr>'35c-35b'!Obszar_wydruku</vt:lpstr>
      <vt:lpstr>'35d-35c'!Obszar_wydruku</vt:lpstr>
      <vt:lpstr>'35e-35d'!Obszar_wydruku</vt:lpstr>
      <vt:lpstr>'35f-35fa'!Obszar_wydruku</vt:lpstr>
      <vt:lpstr>'35g'!Obszar_wydruku</vt:lpstr>
      <vt:lpstr>'36b-36c'!Obszar_wydruku</vt:lpstr>
      <vt:lpstr>'36c-37'!Obszar_wydruku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2018-09-25T08:52:03Z</dcterms:modified>
</cp:coreProperties>
</file>